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uditor's Webpage\Transparency\FY 2024\"/>
    </mc:Choice>
  </mc:AlternateContent>
  <bookViews>
    <workbookView xWindow="-120" yWindow="-120" windowWidth="20730" windowHeight="11160" tabRatio="928" firstSheet="24" activeTab="38"/>
  </bookViews>
  <sheets>
    <sheet name="intro" sheetId="4" r:id="rId1"/>
    <sheet name="100-Genl" sheetId="5" r:id="rId2"/>
    <sheet name="110-Jury" sheetId="6" r:id="rId3"/>
    <sheet name="120-Bail Bond" sheetId="7" r:id="rId4"/>
    <sheet name="130-Protested Ppty Tax" sheetId="59" r:id="rId5"/>
    <sheet name="140-R &amp; B" sheetId="9" r:id="rId6"/>
    <sheet name="145-Road Damage" sheetId="37" r:id="rId7"/>
    <sheet name="160-Perm School" sheetId="56" r:id="rId8"/>
    <sheet name="180-Emer Mgm" sheetId="10" r:id="rId9"/>
    <sheet name="220-Constable" sheetId="11" r:id="rId10"/>
    <sheet name="240-Airport" sheetId="12" r:id="rId11"/>
    <sheet name="260-VIT" sheetId="13" r:id="rId12"/>
    <sheet name="270-HC Youth" sheetId="57" r:id="rId13"/>
    <sheet name="280-Capital Murder" sheetId="58" r:id="rId14"/>
    <sheet name="300-310-320-Technology" sheetId="14" r:id="rId15"/>
    <sheet name="330-Case Mgr" sheetId="38" r:id="rId16"/>
    <sheet name="410-Law Lib" sheetId="15" r:id="rId17"/>
    <sheet name="450-Juv Svcs" sheetId="16" r:id="rId18"/>
    <sheet name="460-Juv Grants" sheetId="17" r:id="rId19"/>
    <sheet name="470-Boot Camp" sheetId="18" state="hidden" r:id="rId20"/>
    <sheet name="480-Title IV-E" sheetId="20" state="hidden" r:id="rId21"/>
    <sheet name="490-Co Grants" sheetId="19" r:id="rId22"/>
    <sheet name="495 - American Rescue Plan" sheetId="60" r:id="rId23"/>
    <sheet name="500-515-Records Mgm" sheetId="21" r:id="rId24"/>
    <sheet name="550-Security" sheetId="22" r:id="rId25"/>
    <sheet name="551-SubCH Sec" sheetId="23" r:id="rId26"/>
    <sheet name="560-Court-Init Guardianship" sheetId="43" r:id="rId27"/>
    <sheet name="570-6th Court of Appeals" sheetId="39" r:id="rId28"/>
    <sheet name="610-I &amp; S" sheetId="24" r:id="rId29"/>
    <sheet name="700-Elevator" sheetId="25" state="hidden" r:id="rId30"/>
    <sheet name="710-Perm Imp" sheetId="26" r:id="rId31"/>
    <sheet name="720-Jail Const" sheetId="27" state="hidden" r:id="rId32"/>
    <sheet name="730-CH Const" sheetId="33" r:id="rId33"/>
    <sheet name="740-Tobacco" sheetId="29" r:id="rId34"/>
    <sheet name="745-Opioid Settlement" sheetId="62" r:id="rId35"/>
    <sheet name="750-CH Maint" sheetId="28" r:id="rId36"/>
    <sheet name="890-DA Spec" sheetId="30" r:id="rId37"/>
    <sheet name="Recap" sheetId="31" r:id="rId38"/>
    <sheet name="Sal Inc" sheetId="32" r:id="rId39"/>
  </sheets>
  <definedNames>
    <definedName name="_xlnm._FilterDatabase" localSheetId="1" hidden="1">'100-Genl'!$A$1:$H$962</definedName>
    <definedName name="_xlnm.Print_Area" localSheetId="1">'100-Genl'!$D$1:$I$978</definedName>
    <definedName name="_xlnm.Print_Area" localSheetId="2">'110-Jury'!$A$1:$I$50</definedName>
    <definedName name="_xlnm.Print_Area" localSheetId="3">'120-Bail Bond'!$A$1:$I$32</definedName>
    <definedName name="_xlnm.Print_Area" localSheetId="4">'130-Protested Ppty Tax'!$A$1:$I$32</definedName>
    <definedName name="_xlnm.Print_Area" localSheetId="5">'140-R &amp; B'!$A$1:$I$132</definedName>
    <definedName name="_xlnm.Print_Area" localSheetId="6">'145-Road Damage'!$A$1:$I$32</definedName>
    <definedName name="_xlnm.Print_Area" localSheetId="7">'160-Perm School'!$A$1:$I$32</definedName>
    <definedName name="_xlnm.Print_Area" localSheetId="8">'180-Emer Mgm'!$A$1:$I$33</definedName>
    <definedName name="_xlnm.Print_Area" localSheetId="9">'220-Constable'!$A$1:$I$43</definedName>
    <definedName name="_xlnm.Print_Area" localSheetId="10">'240-Airport'!$A$1:$I$56</definedName>
    <definedName name="_xlnm.Print_Area" localSheetId="11">'260-VIT'!$A$1:$I$34</definedName>
    <definedName name="_xlnm.Print_Area" localSheetId="12">'270-HC Youth'!$A$1:$I$42</definedName>
    <definedName name="_xlnm.Print_Area" localSheetId="13">'280-Capital Murder'!$A$1:$I$30</definedName>
    <definedName name="_xlnm.Print_Area" localSheetId="14">'300-310-320-Technology'!$A$1:$I$106</definedName>
    <definedName name="_xlnm.Print_Area" localSheetId="15">'330-Case Mgr'!$A$1:$I$33</definedName>
    <definedName name="_xlnm.Print_Area" localSheetId="16">'410-Law Lib'!$A$1:$I$31</definedName>
    <definedName name="_xlnm.Print_Area" localSheetId="17">'450-Juv Svcs'!$A$1:$I$96</definedName>
    <definedName name="_xlnm.Print_Area" localSheetId="18">'460-Juv Grants'!$A$1:$I$123</definedName>
    <definedName name="_xlnm.Print_Area" localSheetId="19">'470-Boot Camp'!$A$1:$I$49</definedName>
    <definedName name="_xlnm.Print_Area" localSheetId="20">'480-Title IV-E'!$A$1:$F$39</definedName>
    <definedName name="_xlnm.Print_Area" localSheetId="21">'490-Co Grants'!$A$1:$I$303</definedName>
    <definedName name="_xlnm.Print_Area" localSheetId="22">'495 - American Rescue Plan'!$A$1:$I$46</definedName>
    <definedName name="_xlnm.Print_Area" localSheetId="23">'500-515-Records Mgm'!$A$1:$I$215</definedName>
    <definedName name="_xlnm.Print_Area" localSheetId="24">'550-Security'!$A$1:$I$45</definedName>
    <definedName name="_xlnm.Print_Area" localSheetId="25">'551-SubCH Sec'!$A$1:$I$33</definedName>
    <definedName name="_xlnm.Print_Area" localSheetId="26">'560-Court-Init Guardianship'!$A$1:$I$33</definedName>
    <definedName name="_xlnm.Print_Area" localSheetId="27">'570-6th Court of Appeals'!$A$1:$I$30</definedName>
    <definedName name="_xlnm.Print_Area" localSheetId="28">'610-I &amp; S'!$A$1:$I$71</definedName>
    <definedName name="_xlnm.Print_Area" localSheetId="29">'700-Elevator'!$A$1:$F$29</definedName>
    <definedName name="_xlnm.Print_Area" localSheetId="30">'710-Perm Imp'!$A$1:$I$42</definedName>
    <definedName name="_xlnm.Print_Area" localSheetId="31">'720-Jail Const'!$A$1:$I$37</definedName>
    <definedName name="_xlnm.Print_Area" localSheetId="32">'730-CH Const'!$A$1:$I$33</definedName>
    <definedName name="_xlnm.Print_Area" localSheetId="33">'740-Tobacco'!$A$1:$I$49</definedName>
    <definedName name="_xlnm.Print_Area" localSheetId="34">'745-Opioid Settlement'!$A$1:$I$42</definedName>
    <definedName name="_xlnm.Print_Area" localSheetId="35">'750-CH Maint'!$A$1:$I$31</definedName>
    <definedName name="_xlnm.Print_Area" localSheetId="36">'890-DA Spec'!$A$1:$I$76</definedName>
    <definedName name="_xlnm.Print_Area" localSheetId="0">intro!$A$1:$H$567</definedName>
    <definedName name="_xlnm.Print_Area" localSheetId="37">Recap!$A$1:$F$59</definedName>
    <definedName name="_xlnm.Print_Area" localSheetId="38">'Sal Inc'!$A$1:$E$45</definedName>
    <definedName name="_xlnm.Print_Titles" localSheetId="1">'100-Genl'!$A:$B</definedName>
    <definedName name="_xlnm.Print_Titles" localSheetId="2">'110-Jury'!$A:$B</definedName>
    <definedName name="_xlnm.Print_Titles" localSheetId="3">'120-Bail Bond'!$A:$B</definedName>
    <definedName name="_xlnm.Print_Titles" localSheetId="4">'130-Protested Ppty Tax'!$A:$B</definedName>
    <definedName name="_xlnm.Print_Titles" localSheetId="5">'140-R &amp; B'!$A:$B</definedName>
    <definedName name="_xlnm.Print_Titles" localSheetId="21">'490-Co Grants'!$58:$61</definedName>
  </definedNames>
  <calcPr calcId="152511"/>
</workbook>
</file>

<file path=xl/calcChain.xml><?xml version="1.0" encoding="utf-8"?>
<calcChain xmlns="http://schemas.openxmlformats.org/spreadsheetml/2006/main">
  <c r="I169" i="5" l="1"/>
  <c r="I71" i="9" l="1"/>
  <c r="I39" i="16"/>
  <c r="I798" i="5"/>
  <c r="I773" i="5"/>
  <c r="I724" i="5"/>
  <c r="I726" i="5"/>
  <c r="I19" i="22"/>
  <c r="I454" i="5"/>
  <c r="I336" i="5"/>
  <c r="I312" i="5"/>
  <c r="I38" i="17" l="1"/>
  <c r="B9" i="32" l="1"/>
  <c r="I34" i="18" l="1"/>
  <c r="I45" i="18" s="1"/>
  <c r="I32" i="18"/>
  <c r="I18" i="18"/>
  <c r="I13" i="18"/>
  <c r="I43" i="18" s="1"/>
  <c r="I4" i="18"/>
  <c r="I39" i="18" s="1"/>
  <c r="D45" i="32"/>
  <c r="D43" i="32"/>
  <c r="D41" i="32"/>
  <c r="D39" i="32"/>
  <c r="D37" i="32"/>
  <c r="D31" i="32"/>
  <c r="D27" i="32"/>
  <c r="D25" i="32"/>
  <c r="D9" i="32"/>
  <c r="I928" i="5"/>
  <c r="I926" i="5"/>
  <c r="I70" i="9"/>
  <c r="I73" i="9" s="1"/>
  <c r="I701" i="5"/>
  <c r="I569" i="5"/>
  <c r="I570" i="5"/>
  <c r="I551" i="5"/>
  <c r="I530" i="5"/>
  <c r="I510" i="5"/>
  <c r="I493" i="5"/>
  <c r="I421" i="5"/>
  <c r="I402" i="5"/>
  <c r="I385" i="5"/>
  <c r="I362" i="5"/>
  <c r="I286" i="5"/>
  <c r="I266" i="5"/>
  <c r="I206" i="5"/>
  <c r="I174" i="5"/>
  <c r="I173" i="5"/>
  <c r="I152" i="5"/>
  <c r="M371" i="4" l="1"/>
  <c r="I12" i="57" l="1"/>
  <c r="H464" i="4" l="1"/>
  <c r="I23" i="5" l="1"/>
  <c r="H79" i="21"/>
  <c r="G79" i="21"/>
  <c r="F79" i="21"/>
  <c r="E79" i="21"/>
  <c r="D79" i="21"/>
  <c r="C79" i="21"/>
  <c r="I79" i="21"/>
  <c r="H764" i="5" l="1"/>
  <c r="G764" i="5"/>
  <c r="F764" i="5"/>
  <c r="E764" i="5"/>
  <c r="D764" i="5"/>
  <c r="C764" i="5"/>
  <c r="F466" i="4" l="1"/>
  <c r="H462" i="4"/>
  <c r="G419" i="4"/>
  <c r="F419" i="4"/>
  <c r="I17" i="14" l="1"/>
  <c r="I241" i="5" l="1"/>
  <c r="I676" i="5" l="1"/>
  <c r="A10" i="62" l="1"/>
  <c r="B29" i="62"/>
  <c r="G26" i="62"/>
  <c r="G37" i="62" s="1"/>
  <c r="F26" i="62"/>
  <c r="F37" i="62" s="1"/>
  <c r="E26" i="62"/>
  <c r="E37" i="62" s="1"/>
  <c r="D26" i="62"/>
  <c r="D37" i="62" s="1"/>
  <c r="C26" i="62"/>
  <c r="C37" i="62" s="1"/>
  <c r="I8" i="62"/>
  <c r="I35" i="62" s="1"/>
  <c r="H8" i="62"/>
  <c r="H35" i="62" s="1"/>
  <c r="G8" i="62"/>
  <c r="G35" i="62" s="1"/>
  <c r="F8" i="62"/>
  <c r="F35" i="62" s="1"/>
  <c r="E8" i="62"/>
  <c r="E35" i="62" s="1"/>
  <c r="D8" i="62"/>
  <c r="D35" i="62" s="1"/>
  <c r="C8" i="62"/>
  <c r="C35" i="62" s="1"/>
  <c r="I4" i="62"/>
  <c r="I31" i="62" s="1"/>
  <c r="H4" i="62"/>
  <c r="H31" i="62" s="1"/>
  <c r="G4" i="62"/>
  <c r="G31" i="62" s="1"/>
  <c r="F4" i="62"/>
  <c r="F31" i="62" s="1"/>
  <c r="E4" i="62"/>
  <c r="E31" i="62" s="1"/>
  <c r="D4" i="62"/>
  <c r="D31" i="62" s="1"/>
  <c r="C4" i="62"/>
  <c r="C31" i="62" s="1"/>
  <c r="H26" i="62" l="1"/>
  <c r="H37" i="62" s="1"/>
  <c r="C41" i="62"/>
  <c r="D33" i="62" s="1"/>
  <c r="D41" i="62" s="1"/>
  <c r="E33" i="62" s="1"/>
  <c r="E41" i="62" s="1"/>
  <c r="F33" i="62" s="1"/>
  <c r="F41" i="62" s="1"/>
  <c r="G33" i="62" s="1"/>
  <c r="G41" i="62" s="1"/>
  <c r="H33" i="62" s="1"/>
  <c r="I26" i="62"/>
  <c r="I37" i="62" s="1"/>
  <c r="H41" i="62" l="1"/>
  <c r="I33" i="62" s="1"/>
  <c r="I41" i="62" s="1"/>
  <c r="I42" i="9" l="1"/>
  <c r="I356" i="5" l="1"/>
  <c r="C37" i="22" l="1"/>
  <c r="C88" i="16"/>
  <c r="C62" i="14"/>
  <c r="C22" i="58"/>
  <c r="C34" i="57"/>
  <c r="C24" i="13"/>
  <c r="C46" i="12"/>
  <c r="C21" i="37"/>
  <c r="C124" i="9"/>
  <c r="G23" i="30" l="1"/>
  <c r="I22" i="30"/>
  <c r="I59" i="30"/>
  <c r="I60" i="30" s="1"/>
  <c r="I50" i="30"/>
  <c r="I43" i="30"/>
  <c r="I21" i="30"/>
  <c r="I23" i="30" s="1"/>
  <c r="I16" i="30"/>
  <c r="I12" i="30"/>
  <c r="I11" i="30"/>
  <c r="I6" i="30"/>
  <c r="I7" i="30" s="1"/>
  <c r="I4" i="30"/>
  <c r="I67" i="30" s="1"/>
  <c r="I15" i="28"/>
  <c r="I26" i="28" s="1"/>
  <c r="I9" i="28"/>
  <c r="I10" i="28" s="1"/>
  <c r="I24" i="28" s="1"/>
  <c r="I4" i="28"/>
  <c r="I20" i="28" s="1"/>
  <c r="I29" i="29"/>
  <c r="I27" i="29"/>
  <c r="I26" i="29"/>
  <c r="I25" i="29"/>
  <c r="I24" i="29"/>
  <c r="I23" i="29"/>
  <c r="I21" i="29"/>
  <c r="I20" i="29"/>
  <c r="I18" i="29"/>
  <c r="I16" i="29"/>
  <c r="I15" i="29"/>
  <c r="I14" i="29"/>
  <c r="I13" i="29"/>
  <c r="I12" i="29"/>
  <c r="I11" i="29"/>
  <c r="I8" i="29"/>
  <c r="I42" i="29" s="1"/>
  <c r="I4" i="29"/>
  <c r="I38" i="29" s="1"/>
  <c r="I16" i="33"/>
  <c r="I27" i="33" s="1"/>
  <c r="I11" i="33"/>
  <c r="I25" i="33" s="1"/>
  <c r="I4" i="33"/>
  <c r="I21" i="33" s="1"/>
  <c r="I19" i="27"/>
  <c r="I21" i="27" s="1"/>
  <c r="I32" i="27" s="1"/>
  <c r="I15" i="27"/>
  <c r="I10" i="27"/>
  <c r="I30" i="27" s="1"/>
  <c r="I4" i="27"/>
  <c r="I26" i="27" s="1"/>
  <c r="I13" i="26"/>
  <c r="I4" i="26"/>
  <c r="I31" i="26" s="1"/>
  <c r="I52" i="24"/>
  <c r="I21" i="24"/>
  <c r="I14" i="24"/>
  <c r="I7" i="24"/>
  <c r="I6" i="24"/>
  <c r="I4" i="24"/>
  <c r="I60" i="24" s="1"/>
  <c r="I14" i="39"/>
  <c r="I25" i="39" s="1"/>
  <c r="I9" i="39"/>
  <c r="I23" i="39" s="1"/>
  <c r="I4" i="39"/>
  <c r="I19" i="39" s="1"/>
  <c r="I12" i="43"/>
  <c r="I23" i="43" s="1"/>
  <c r="I7" i="43"/>
  <c r="I6" i="43"/>
  <c r="I4" i="43"/>
  <c r="I17" i="43" s="1"/>
  <c r="I16" i="23"/>
  <c r="I27" i="23" s="1"/>
  <c r="I7" i="23"/>
  <c r="I6" i="23"/>
  <c r="I8" i="23" s="1"/>
  <c r="I25" i="23" s="1"/>
  <c r="I4" i="23"/>
  <c r="I21" i="23" s="1"/>
  <c r="I200" i="21"/>
  <c r="I211" i="21" s="1"/>
  <c r="I195" i="21"/>
  <c r="I194" i="21"/>
  <c r="I170" i="21"/>
  <c r="I181" i="21" s="1"/>
  <c r="I165" i="21"/>
  <c r="I164" i="21"/>
  <c r="I139" i="21"/>
  <c r="I150" i="21" s="1"/>
  <c r="I134" i="21"/>
  <c r="I133" i="21"/>
  <c r="I103" i="21"/>
  <c r="I102" i="21"/>
  <c r="I104" i="21" s="1"/>
  <c r="I118" i="21" s="1"/>
  <c r="I90" i="21"/>
  <c r="I71" i="21"/>
  <c r="I88" i="21" s="1"/>
  <c r="I44" i="21"/>
  <c r="I55" i="21" s="1"/>
  <c r="I39" i="21"/>
  <c r="I40" i="21" s="1"/>
  <c r="I53" i="21" s="1"/>
  <c r="I13" i="21"/>
  <c r="I24" i="21" s="1"/>
  <c r="I7" i="21"/>
  <c r="I9" i="21" s="1"/>
  <c r="I22" i="21" s="1"/>
  <c r="I4" i="21"/>
  <c r="I114" i="21" s="1"/>
  <c r="I30" i="60"/>
  <c r="I42" i="60" s="1"/>
  <c r="I8" i="60"/>
  <c r="I40" i="60" s="1"/>
  <c r="I4" i="60"/>
  <c r="I36" i="60" s="1"/>
  <c r="G308" i="19"/>
  <c r="I232" i="19"/>
  <c r="H232" i="19"/>
  <c r="G232" i="19"/>
  <c r="F232" i="19"/>
  <c r="E232" i="19"/>
  <c r="D232" i="19"/>
  <c r="C232" i="19"/>
  <c r="I227" i="19"/>
  <c r="H227" i="19"/>
  <c r="G227" i="19"/>
  <c r="F227" i="19"/>
  <c r="E227" i="19"/>
  <c r="D227" i="19"/>
  <c r="C227" i="19"/>
  <c r="I285" i="19"/>
  <c r="I281" i="19"/>
  <c r="I275" i="19"/>
  <c r="I271" i="19"/>
  <c r="I268" i="19"/>
  <c r="I262" i="19"/>
  <c r="I256" i="19"/>
  <c r="I250" i="19"/>
  <c r="I244" i="19"/>
  <c r="I238" i="19"/>
  <c r="I223" i="19"/>
  <c r="I218" i="19"/>
  <c r="I214" i="19"/>
  <c r="I210" i="19"/>
  <c r="I199" i="19"/>
  <c r="I195" i="19"/>
  <c r="I191" i="19"/>
  <c r="I185" i="19"/>
  <c r="I181" i="19"/>
  <c r="I177" i="19"/>
  <c r="I171" i="19"/>
  <c r="I167" i="19"/>
  <c r="I162" i="19"/>
  <c r="I161" i="19"/>
  <c r="I153" i="19"/>
  <c r="I149" i="19"/>
  <c r="I145" i="19"/>
  <c r="I141" i="19"/>
  <c r="I137" i="19"/>
  <c r="I133" i="19"/>
  <c r="I129" i="19"/>
  <c r="I125" i="19"/>
  <c r="I121" i="19"/>
  <c r="I116" i="19"/>
  <c r="I117" i="19" s="1"/>
  <c r="I112" i="19"/>
  <c r="I108" i="19"/>
  <c r="I101" i="19"/>
  <c r="I97" i="19"/>
  <c r="I87" i="19"/>
  <c r="I78" i="19"/>
  <c r="I72" i="19"/>
  <c r="I64" i="19"/>
  <c r="I49" i="19"/>
  <c r="I15" i="19"/>
  <c r="I156" i="19" s="1"/>
  <c r="I157" i="19" s="1"/>
  <c r="I12" i="19"/>
  <c r="I9" i="19"/>
  <c r="I5" i="19"/>
  <c r="I293" i="19" s="1"/>
  <c r="I106" i="17"/>
  <c r="I102" i="17"/>
  <c r="I91" i="17"/>
  <c r="I87" i="17"/>
  <c r="I78" i="17"/>
  <c r="I74" i="17"/>
  <c r="I70" i="17"/>
  <c r="I63" i="17"/>
  <c r="I58" i="17"/>
  <c r="I52" i="17"/>
  <c r="I40" i="17"/>
  <c r="I25" i="17"/>
  <c r="I18" i="17"/>
  <c r="I20" i="17" s="1"/>
  <c r="I117" i="17" s="1"/>
  <c r="I4" i="17"/>
  <c r="I113" i="17" s="1"/>
  <c r="I77" i="16"/>
  <c r="I76" i="16"/>
  <c r="I61" i="16"/>
  <c r="I59" i="16"/>
  <c r="I56" i="16"/>
  <c r="I55" i="16"/>
  <c r="I52" i="16"/>
  <c r="I51" i="16"/>
  <c r="I50" i="16"/>
  <c r="I37" i="16"/>
  <c r="I36" i="16"/>
  <c r="I31" i="16"/>
  <c r="I19" i="16"/>
  <c r="I17" i="16"/>
  <c r="I16" i="16"/>
  <c r="I4" i="16"/>
  <c r="I69" i="16" s="1"/>
  <c r="I16" i="15"/>
  <c r="I27" i="15" s="1"/>
  <c r="I10" i="15"/>
  <c r="I25" i="15" s="1"/>
  <c r="I4" i="15"/>
  <c r="I21" i="15" s="1"/>
  <c r="I18" i="38"/>
  <c r="I29" i="38" s="1"/>
  <c r="I4" i="38"/>
  <c r="I23" i="38" s="1"/>
  <c r="I90" i="14"/>
  <c r="I101" i="14" s="1"/>
  <c r="I85" i="14"/>
  <c r="I99" i="14" s="1"/>
  <c r="I55" i="14"/>
  <c r="I66" i="14" s="1"/>
  <c r="I50" i="14"/>
  <c r="I64" i="14" s="1"/>
  <c r="I22" i="14"/>
  <c r="I33" i="14" s="1"/>
  <c r="I9" i="14"/>
  <c r="I31" i="14" s="1"/>
  <c r="I4" i="14"/>
  <c r="I95" i="14" s="1"/>
  <c r="I4" i="58"/>
  <c r="I20" i="58" s="1"/>
  <c r="I24" i="57"/>
  <c r="I22" i="57"/>
  <c r="I19" i="57"/>
  <c r="I18" i="57"/>
  <c r="I17" i="57"/>
  <c r="I16" i="57"/>
  <c r="I15" i="57"/>
  <c r="I14" i="57"/>
  <c r="I13" i="57"/>
  <c r="I4" i="57"/>
  <c r="I32" i="57" s="1"/>
  <c r="F16" i="13"/>
  <c r="E16" i="13"/>
  <c r="D16" i="13"/>
  <c r="H16" i="13"/>
  <c r="G16" i="13"/>
  <c r="I14" i="13"/>
  <c r="I16" i="13" s="1"/>
  <c r="I4" i="13"/>
  <c r="I22" i="13" s="1"/>
  <c r="I30" i="12"/>
  <c r="I29" i="12"/>
  <c r="I27" i="12"/>
  <c r="I26" i="12"/>
  <c r="I25" i="12"/>
  <c r="I24" i="12"/>
  <c r="I18" i="12"/>
  <c r="I17" i="12"/>
  <c r="I16" i="12"/>
  <c r="I15" i="12"/>
  <c r="I7" i="12"/>
  <c r="I4" i="12"/>
  <c r="I44" i="12" s="1"/>
  <c r="I25" i="11"/>
  <c r="I37" i="11" s="1"/>
  <c r="I14" i="11"/>
  <c r="I35" i="11" s="1"/>
  <c r="I4" i="11"/>
  <c r="I31" i="11" s="1"/>
  <c r="I15" i="10"/>
  <c r="I16" i="10" s="1"/>
  <c r="I28" i="10" s="1"/>
  <c r="I4" i="10"/>
  <c r="I22" i="10" s="1"/>
  <c r="I14" i="56"/>
  <c r="I26" i="56" s="1"/>
  <c r="I4" i="56"/>
  <c r="I20" i="56" s="1"/>
  <c r="I13" i="37"/>
  <c r="I25" i="37" s="1"/>
  <c r="I4" i="37"/>
  <c r="I19" i="37" s="1"/>
  <c r="I67" i="9"/>
  <c r="I49" i="9"/>
  <c r="I5" i="9"/>
  <c r="I122" i="9" s="1"/>
  <c r="I15" i="59"/>
  <c r="E24" i="31" s="1"/>
  <c r="I4" i="59"/>
  <c r="I21" i="59" s="1"/>
  <c r="I8" i="7"/>
  <c r="I7" i="7"/>
  <c r="I6" i="7"/>
  <c r="I4" i="7"/>
  <c r="I21" i="7" s="1"/>
  <c r="I30" i="6"/>
  <c r="I29" i="6"/>
  <c r="I28" i="6"/>
  <c r="I27" i="6"/>
  <c r="I19" i="6"/>
  <c r="I4" i="6"/>
  <c r="I38" i="6" s="1"/>
  <c r="I355" i="5"/>
  <c r="I162" i="5"/>
  <c r="I161" i="5"/>
  <c r="I160" i="5"/>
  <c r="I159" i="5"/>
  <c r="I146" i="5"/>
  <c r="I145" i="5"/>
  <c r="I144" i="5"/>
  <c r="I142" i="5"/>
  <c r="I138" i="5"/>
  <c r="I136" i="5"/>
  <c r="I126" i="5"/>
  <c r="I127" i="5" s="1"/>
  <c r="I24" i="22"/>
  <c r="I14" i="22"/>
  <c r="I4" i="22"/>
  <c r="I35" i="22" s="1"/>
  <c r="I968" i="5"/>
  <c r="I943" i="5"/>
  <c r="I892" i="5"/>
  <c r="I828" i="5"/>
  <c r="I769" i="5"/>
  <c r="I721" i="5"/>
  <c r="I657" i="5"/>
  <c r="I599" i="5"/>
  <c r="I583" i="5"/>
  <c r="I548" i="5"/>
  <c r="I496" i="5"/>
  <c r="I490" i="5"/>
  <c r="I476" i="5"/>
  <c r="I439" i="5"/>
  <c r="I405" i="5"/>
  <c r="I382" i="5"/>
  <c r="I330" i="5"/>
  <c r="I308" i="5"/>
  <c r="I283" i="5"/>
  <c r="I231" i="5"/>
  <c r="I195" i="5"/>
  <c r="I190" i="5"/>
  <c r="I124" i="5"/>
  <c r="I117" i="5"/>
  <c r="I72" i="5"/>
  <c r="I13" i="30" l="1"/>
  <c r="E17" i="31"/>
  <c r="I27" i="59"/>
  <c r="E26" i="31"/>
  <c r="E18" i="31"/>
  <c r="I19" i="12"/>
  <c r="I54" i="24"/>
  <c r="I9" i="7"/>
  <c r="I25" i="7" s="1"/>
  <c r="I8" i="43"/>
  <c r="I21" i="43" s="1"/>
  <c r="E34" i="31"/>
  <c r="I28" i="13"/>
  <c r="I35" i="21"/>
  <c r="I18" i="21"/>
  <c r="I66" i="21"/>
  <c r="I131" i="21"/>
  <c r="I192" i="21"/>
  <c r="I86" i="16"/>
  <c r="I35" i="16"/>
  <c r="I84" i="21"/>
  <c r="I49" i="21"/>
  <c r="I100" i="21"/>
  <c r="I144" i="21"/>
  <c r="I205" i="21"/>
  <c r="I11" i="24"/>
  <c r="I16" i="24" s="1"/>
  <c r="I64" i="24" s="1"/>
  <c r="E15" i="31" s="1"/>
  <c r="I196" i="21"/>
  <c r="I209" i="21" s="1"/>
  <c r="I166" i="21"/>
  <c r="I179" i="21" s="1"/>
  <c r="I135" i="21"/>
  <c r="I148" i="21" s="1"/>
  <c r="I175" i="21"/>
  <c r="I162" i="21"/>
  <c r="I61" i="19"/>
  <c r="I163" i="19"/>
  <c r="I288" i="19" s="1"/>
  <c r="I299" i="19" s="1"/>
  <c r="I45" i="19"/>
  <c r="I51" i="19" s="1"/>
  <c r="I297" i="19" s="1"/>
  <c r="I66" i="17"/>
  <c r="I64" i="16"/>
  <c r="I45" i="14"/>
  <c r="I80" i="14"/>
  <c r="I27" i="14"/>
  <c r="I60" i="14"/>
  <c r="I26" i="57"/>
  <c r="I38" i="57" s="1"/>
  <c r="I39" i="12"/>
  <c r="I50" i="12" s="1"/>
  <c r="E27" i="31" s="1"/>
  <c r="I64" i="9"/>
  <c r="I424" i="5"/>
  <c r="H7" i="12"/>
  <c r="I66" i="24" l="1"/>
  <c r="E31" i="31"/>
  <c r="H548" i="5"/>
  <c r="G548" i="5"/>
  <c r="F548" i="5"/>
  <c r="E548" i="5"/>
  <c r="D548" i="5"/>
  <c r="H490" i="5"/>
  <c r="G490" i="5"/>
  <c r="F490" i="5"/>
  <c r="E490" i="5"/>
  <c r="D490" i="5"/>
  <c r="H382" i="5"/>
  <c r="G382" i="5"/>
  <c r="F382" i="5"/>
  <c r="E382" i="5"/>
  <c r="D382" i="5"/>
  <c r="C382" i="5"/>
  <c r="C566" i="5"/>
  <c r="H70" i="9" l="1"/>
  <c r="H27" i="22" l="1"/>
  <c r="E382" i="4" l="1"/>
  <c r="H77" i="9"/>
  <c r="H71" i="9"/>
  <c r="H73" i="9" s="1"/>
  <c r="H141" i="5" l="1"/>
  <c r="H23" i="22" l="1"/>
  <c r="H24" i="22"/>
  <c r="H14" i="60" l="1"/>
  <c r="H30" i="60" s="1"/>
  <c r="F30" i="60"/>
  <c r="E30" i="60"/>
  <c r="D30" i="60"/>
  <c r="C30" i="60"/>
  <c r="I821" i="5" l="1"/>
  <c r="H223" i="19" l="1"/>
  <c r="G223" i="19"/>
  <c r="F223" i="19"/>
  <c r="E223" i="19"/>
  <c r="D223" i="19"/>
  <c r="C223" i="19"/>
  <c r="H218" i="19"/>
  <c r="G218" i="19"/>
  <c r="F218" i="19"/>
  <c r="E218" i="19"/>
  <c r="D218" i="19"/>
  <c r="C218" i="19"/>
  <c r="H214" i="19"/>
  <c r="G214" i="19"/>
  <c r="F214" i="19"/>
  <c r="E214" i="19"/>
  <c r="D214" i="19"/>
  <c r="C214" i="19"/>
  <c r="H78" i="19"/>
  <c r="G78" i="19"/>
  <c r="F78" i="19"/>
  <c r="C78" i="19"/>
  <c r="D78" i="19"/>
  <c r="E78" i="19"/>
  <c r="H53" i="30" l="1"/>
  <c r="I53" i="30" s="1"/>
  <c r="H52" i="30"/>
  <c r="I52" i="30" s="1"/>
  <c r="I51" i="30"/>
  <c r="H46" i="30"/>
  <c r="I46" i="30" s="1"/>
  <c r="H45" i="30"/>
  <c r="I45" i="30" s="1"/>
  <c r="H44" i="30"/>
  <c r="H36" i="30"/>
  <c r="I36" i="30" s="1"/>
  <c r="H35" i="30"/>
  <c r="I35" i="30" s="1"/>
  <c r="H34" i="30"/>
  <c r="I34" i="30" s="1"/>
  <c r="H33" i="30"/>
  <c r="I33" i="30" s="1"/>
  <c r="H32" i="30"/>
  <c r="I32" i="30" s="1"/>
  <c r="H31" i="30"/>
  <c r="I31" i="30" s="1"/>
  <c r="H30" i="30"/>
  <c r="I30" i="30" s="1"/>
  <c r="I17" i="30"/>
  <c r="I18" i="30" s="1"/>
  <c r="I25" i="30" s="1"/>
  <c r="I70" i="30" s="1"/>
  <c r="H32" i="29"/>
  <c r="I32" i="29" s="1"/>
  <c r="H31" i="29"/>
  <c r="I31" i="29" s="1"/>
  <c r="H30" i="29"/>
  <c r="I30" i="29" s="1"/>
  <c r="I23" i="26"/>
  <c r="I26" i="26" s="1"/>
  <c r="H29" i="22"/>
  <c r="I29" i="22" s="1"/>
  <c r="H28" i="22"/>
  <c r="I28" i="22" s="1"/>
  <c r="H21" i="22"/>
  <c r="H20" i="22"/>
  <c r="I20" i="22" s="1"/>
  <c r="I10" i="22"/>
  <c r="H9" i="22"/>
  <c r="I9" i="22" s="1"/>
  <c r="I8" i="22"/>
  <c r="I54" i="30" l="1"/>
  <c r="I47" i="30"/>
  <c r="I30" i="22"/>
  <c r="I41" i="22" s="1"/>
  <c r="I37" i="26"/>
  <c r="E32" i="31"/>
  <c r="I11" i="22"/>
  <c r="I16" i="22" s="1"/>
  <c r="I39" i="22" s="1"/>
  <c r="I33" i="29"/>
  <c r="I37" i="30"/>
  <c r="H107" i="21"/>
  <c r="I107" i="21" s="1"/>
  <c r="I109" i="21" s="1"/>
  <c r="I120" i="21" s="1"/>
  <c r="H47" i="17"/>
  <c r="I47" i="17" s="1"/>
  <c r="H45" i="17"/>
  <c r="I45" i="17" s="1"/>
  <c r="H37" i="17"/>
  <c r="I37" i="17" s="1"/>
  <c r="H30" i="17"/>
  <c r="I30" i="17" s="1"/>
  <c r="H12" i="16"/>
  <c r="I12" i="16" s="1"/>
  <c r="I13" i="16" s="1"/>
  <c r="H20" i="16"/>
  <c r="I20" i="16" s="1"/>
  <c r="I21" i="16" s="1"/>
  <c r="H27" i="16"/>
  <c r="I27" i="16" s="1"/>
  <c r="H26" i="16"/>
  <c r="I26" i="16" s="1"/>
  <c r="H25" i="16"/>
  <c r="I25" i="16" s="1"/>
  <c r="H78" i="16"/>
  <c r="I78" i="16" s="1"/>
  <c r="I79" i="16" s="1"/>
  <c r="I81" i="16" s="1"/>
  <c r="I8" i="38"/>
  <c r="I9" i="38" s="1"/>
  <c r="I27" i="38" s="1"/>
  <c r="H13" i="58"/>
  <c r="I13" i="58" s="1"/>
  <c r="I14" i="58" s="1"/>
  <c r="I8" i="57"/>
  <c r="I36" i="57" s="1"/>
  <c r="H8" i="13"/>
  <c r="I8" i="13" s="1"/>
  <c r="I9" i="13" s="1"/>
  <c r="I26" i="13" s="1"/>
  <c r="H10" i="10"/>
  <c r="I10" i="10" s="1"/>
  <c r="H9" i="10"/>
  <c r="I9" i="10" s="1"/>
  <c r="H8" i="10"/>
  <c r="I8" i="10" s="1"/>
  <c r="H7" i="10"/>
  <c r="I7" i="10" s="1"/>
  <c r="I6" i="10"/>
  <c r="I6" i="56"/>
  <c r="I98" i="9"/>
  <c r="I96" i="9"/>
  <c r="I87" i="9"/>
  <c r="I85" i="9"/>
  <c r="I82" i="9"/>
  <c r="I81" i="9"/>
  <c r="H78" i="9"/>
  <c r="I78" i="9" s="1"/>
  <c r="H44" i="9"/>
  <c r="I44" i="9" s="1"/>
  <c r="I37" i="9"/>
  <c r="I28" i="9"/>
  <c r="H23" i="9"/>
  <c r="I23" i="9" s="1"/>
  <c r="I22" i="9"/>
  <c r="I21" i="9"/>
  <c r="I16" i="9"/>
  <c r="I14" i="9"/>
  <c r="I13" i="9"/>
  <c r="I12" i="9"/>
  <c r="I8" i="59"/>
  <c r="H7" i="59"/>
  <c r="I7" i="59" s="1"/>
  <c r="H6" i="59"/>
  <c r="I6" i="59" s="1"/>
  <c r="I13" i="7"/>
  <c r="H12" i="7"/>
  <c r="I12" i="7" s="1"/>
  <c r="H31" i="6"/>
  <c r="I31" i="6" s="1"/>
  <c r="I32" i="6" s="1"/>
  <c r="H12" i="6"/>
  <c r="I12" i="6" s="1"/>
  <c r="H11" i="6"/>
  <c r="I11" i="6" s="1"/>
  <c r="I9" i="6"/>
  <c r="I8" i="6"/>
  <c r="I959" i="5"/>
  <c r="H958" i="5"/>
  <c r="I958" i="5" s="1"/>
  <c r="H957" i="5"/>
  <c r="I957" i="5" s="1"/>
  <c r="I955" i="5"/>
  <c r="H951" i="5"/>
  <c r="I951" i="5" s="1"/>
  <c r="H949" i="5"/>
  <c r="I949" i="5" s="1"/>
  <c r="H948" i="5"/>
  <c r="I948" i="5" s="1"/>
  <c r="H946" i="5"/>
  <c r="I946" i="5" s="1"/>
  <c r="H945" i="5"/>
  <c r="I945" i="5" s="1"/>
  <c r="I939" i="5"/>
  <c r="I922" i="5"/>
  <c r="I910" i="5"/>
  <c r="I905" i="5"/>
  <c r="I904" i="5"/>
  <c r="I896" i="5"/>
  <c r="I864" i="5"/>
  <c r="I863" i="5"/>
  <c r="I860" i="5"/>
  <c r="I859" i="5"/>
  <c r="I858" i="5"/>
  <c r="I857" i="5"/>
  <c r="I853" i="5"/>
  <c r="I851" i="5"/>
  <c r="I850" i="5"/>
  <c r="I849" i="5"/>
  <c r="I840" i="5"/>
  <c r="I839" i="5"/>
  <c r="I819" i="5"/>
  <c r="I818" i="5"/>
  <c r="I817" i="5"/>
  <c r="I816" i="5"/>
  <c r="I810" i="5"/>
  <c r="I807" i="5"/>
  <c r="I806" i="5"/>
  <c r="I793" i="5"/>
  <c r="I792" i="5"/>
  <c r="I790" i="5"/>
  <c r="I786" i="5"/>
  <c r="I785" i="5"/>
  <c r="I782" i="5"/>
  <c r="I772" i="5"/>
  <c r="I758" i="5"/>
  <c r="I757" i="5"/>
  <c r="I756" i="5"/>
  <c r="I751" i="5"/>
  <c r="I747" i="5"/>
  <c r="I744" i="5"/>
  <c r="I729" i="5"/>
  <c r="I716" i="5"/>
  <c r="I714" i="5"/>
  <c r="I713" i="5"/>
  <c r="I710" i="5"/>
  <c r="I708" i="5"/>
  <c r="I707" i="5"/>
  <c r="I706" i="5"/>
  <c r="I705" i="5"/>
  <c r="I696" i="5"/>
  <c r="I694" i="5"/>
  <c r="I693" i="5"/>
  <c r="I692" i="5"/>
  <c r="I690" i="5"/>
  <c r="I688" i="5"/>
  <c r="I685" i="5"/>
  <c r="I681" i="5"/>
  <c r="I675" i="5"/>
  <c r="I673" i="5"/>
  <c r="I671" i="5"/>
  <c r="I669" i="5"/>
  <c r="I667" i="5"/>
  <c r="I665" i="5"/>
  <c r="I664" i="5"/>
  <c r="I651" i="5"/>
  <c r="I649" i="5"/>
  <c r="I645" i="5"/>
  <c r="I640" i="5"/>
  <c r="I636" i="5"/>
  <c r="I630" i="5"/>
  <c r="I629" i="5"/>
  <c r="I593" i="5"/>
  <c r="I587" i="5"/>
  <c r="I584" i="5"/>
  <c r="I563" i="5"/>
  <c r="I561" i="5"/>
  <c r="I560" i="5"/>
  <c r="I555" i="5"/>
  <c r="I552" i="5"/>
  <c r="I539" i="5"/>
  <c r="I522" i="5"/>
  <c r="I519" i="5"/>
  <c r="I502" i="5"/>
  <c r="I501" i="5"/>
  <c r="I499" i="5"/>
  <c r="I483" i="5"/>
  <c r="I482" i="5"/>
  <c r="I481" i="5"/>
  <c r="I480" i="5"/>
  <c r="I479" i="5"/>
  <c r="I462" i="5"/>
  <c r="I455" i="5"/>
  <c r="I449" i="5"/>
  <c r="I445" i="5"/>
  <c r="I443" i="5"/>
  <c r="H441" i="5"/>
  <c r="I441" i="5" s="1"/>
  <c r="I433" i="5"/>
  <c r="I431" i="5"/>
  <c r="I428" i="5"/>
  <c r="I415" i="5"/>
  <c r="I413" i="5"/>
  <c r="I412" i="5"/>
  <c r="I411" i="5"/>
  <c r="I410" i="5"/>
  <c r="I409" i="5"/>
  <c r="I395" i="5"/>
  <c r="I394" i="5"/>
  <c r="I392" i="5"/>
  <c r="I376" i="5"/>
  <c r="I374" i="5"/>
  <c r="I373" i="5"/>
  <c r="I372" i="5"/>
  <c r="I371" i="5"/>
  <c r="I370" i="5"/>
  <c r="I369" i="5"/>
  <c r="I361" i="5"/>
  <c r="I351" i="5"/>
  <c r="I350" i="5"/>
  <c r="I349" i="5"/>
  <c r="I342" i="5"/>
  <c r="I332" i="5"/>
  <c r="I333" i="5" s="1"/>
  <c r="I322" i="5"/>
  <c r="I321" i="5"/>
  <c r="I297" i="5"/>
  <c r="I274" i="5"/>
  <c r="I273" i="5"/>
  <c r="I267" i="5"/>
  <c r="I261" i="5"/>
  <c r="I260" i="5"/>
  <c r="I258" i="5"/>
  <c r="I257" i="5"/>
  <c r="I256" i="5"/>
  <c r="I253" i="5"/>
  <c r="I250" i="5"/>
  <c r="I249" i="5"/>
  <c r="I247" i="5"/>
  <c r="I243" i="5"/>
  <c r="I242" i="5"/>
  <c r="I240" i="5"/>
  <c r="I238" i="5"/>
  <c r="I236" i="5"/>
  <c r="I235" i="5"/>
  <c r="I233" i="5"/>
  <c r="I221" i="5"/>
  <c r="I220" i="5"/>
  <c r="I219" i="5"/>
  <c r="I201" i="5"/>
  <c r="I200" i="5"/>
  <c r="I199" i="5"/>
  <c r="I183" i="5"/>
  <c r="I180" i="5"/>
  <c r="I179" i="5"/>
  <c r="H133" i="5"/>
  <c r="I132" i="5"/>
  <c r="H111" i="5"/>
  <c r="I111" i="5" s="1"/>
  <c r="H106" i="5"/>
  <c r="I106" i="5" s="1"/>
  <c r="H104" i="5"/>
  <c r="I104" i="5" s="1"/>
  <c r="H101" i="5"/>
  <c r="I101" i="5" s="1"/>
  <c r="H93" i="5"/>
  <c r="I93" i="5" s="1"/>
  <c r="H88" i="5"/>
  <c r="I88" i="5" s="1"/>
  <c r="I86" i="5"/>
  <c r="I83" i="5"/>
  <c r="I82" i="5"/>
  <c r="H81" i="5"/>
  <c r="I81" i="5" s="1"/>
  <c r="H78" i="5"/>
  <c r="I78" i="5" s="1"/>
  <c r="I77" i="5"/>
  <c r="I75" i="5"/>
  <c r="I61" i="5"/>
  <c r="I60" i="5"/>
  <c r="I56" i="5"/>
  <c r="I55" i="5"/>
  <c r="I54" i="5"/>
  <c r="I53" i="5"/>
  <c r="I42" i="5"/>
  <c r="H33" i="5"/>
  <c r="I33" i="5" s="1"/>
  <c r="H29" i="5"/>
  <c r="I29" i="5" s="1"/>
  <c r="I27" i="5"/>
  <c r="H24" i="5"/>
  <c r="I24" i="5" s="1"/>
  <c r="I21" i="5"/>
  <c r="H20" i="5"/>
  <c r="I20" i="5" s="1"/>
  <c r="H18" i="5"/>
  <c r="I18" i="5" s="1"/>
  <c r="H14" i="5"/>
  <c r="I14" i="5" s="1"/>
  <c r="I13" i="5"/>
  <c r="I62" i="30" l="1"/>
  <c r="I72" i="30" s="1"/>
  <c r="I841" i="5"/>
  <c r="I15" i="7"/>
  <c r="I27" i="7" s="1"/>
  <c r="I28" i="16"/>
  <c r="I44" i="6"/>
  <c r="E23" i="31"/>
  <c r="I26" i="58"/>
  <c r="E28" i="31"/>
  <c r="E33" i="31"/>
  <c r="I44" i="29"/>
  <c r="E29" i="31"/>
  <c r="I92" i="16"/>
  <c r="I9" i="59"/>
  <c r="I11" i="10"/>
  <c r="I794" i="5"/>
  <c r="I764" i="5"/>
  <c r="I202" i="5"/>
  <c r="I435" i="5"/>
  <c r="I48" i="17"/>
  <c r="I8" i="56"/>
  <c r="I24" i="56" s="1"/>
  <c r="I8" i="37"/>
  <c r="I23" i="37" s="1"/>
  <c r="I88" i="9"/>
  <c r="I45" i="9"/>
  <c r="I38" i="9"/>
  <c r="I24" i="9"/>
  <c r="I17" i="9"/>
  <c r="I299" i="5"/>
  <c r="I417" i="5"/>
  <c r="I278" i="5"/>
  <c r="I916" i="5"/>
  <c r="I824" i="5"/>
  <c r="I652" i="5"/>
  <c r="I952" i="5"/>
  <c r="I887" i="5"/>
  <c r="I94" i="5"/>
  <c r="I186" i="5"/>
  <c r="I677" i="5"/>
  <c r="I865" i="5"/>
  <c r="I15" i="5"/>
  <c r="I217" i="5"/>
  <c r="I226" i="5" s="1"/>
  <c r="I505" i="5"/>
  <c r="I854" i="5"/>
  <c r="I262" i="5"/>
  <c r="I165" i="5"/>
  <c r="I398" i="5"/>
  <c r="I923" i="5"/>
  <c r="I149" i="5"/>
  <c r="I697" i="5"/>
  <c r="I717" i="5"/>
  <c r="I960" i="5"/>
  <c r="I357" i="5"/>
  <c r="I113" i="5"/>
  <c r="I450" i="5"/>
  <c r="I485" i="5"/>
  <c r="I526" i="5"/>
  <c r="I30" i="5"/>
  <c r="I68" i="5"/>
  <c r="E49" i="31"/>
  <c r="D49" i="31"/>
  <c r="E53" i="31"/>
  <c r="E45" i="31"/>
  <c r="H60" i="30"/>
  <c r="H54" i="30"/>
  <c r="H37" i="30"/>
  <c r="H23" i="30"/>
  <c r="H18" i="30"/>
  <c r="H13" i="30"/>
  <c r="H7" i="30"/>
  <c r="H4" i="30"/>
  <c r="H67" i="30" s="1"/>
  <c r="H15" i="28"/>
  <c r="H10" i="28"/>
  <c r="H4" i="28"/>
  <c r="H20" i="28" s="1"/>
  <c r="H33" i="29"/>
  <c r="H8" i="29"/>
  <c r="H4" i="29"/>
  <c r="H38" i="29" s="1"/>
  <c r="H16" i="33"/>
  <c r="H27" i="33" s="1"/>
  <c r="H11" i="33"/>
  <c r="H25" i="33" s="1"/>
  <c r="H4" i="33"/>
  <c r="H21" i="33" s="1"/>
  <c r="H19" i="27"/>
  <c r="H15" i="27"/>
  <c r="H10" i="27"/>
  <c r="H30" i="27" s="1"/>
  <c r="H4" i="27"/>
  <c r="H26" i="27" s="1"/>
  <c r="H26" i="26"/>
  <c r="H13" i="26"/>
  <c r="H4" i="26"/>
  <c r="H31" i="26" s="1"/>
  <c r="H21" i="24"/>
  <c r="H14" i="24"/>
  <c r="H4" i="24"/>
  <c r="H60" i="24" s="1"/>
  <c r="H25" i="39"/>
  <c r="H14" i="39"/>
  <c r="H9" i="39"/>
  <c r="H23" i="39" s="1"/>
  <c r="H4" i="39"/>
  <c r="H19" i="39" s="1"/>
  <c r="H12" i="43"/>
  <c r="H23" i="43" s="1"/>
  <c r="H8" i="43"/>
  <c r="H21" i="43" s="1"/>
  <c r="H4" i="43"/>
  <c r="H17" i="43" s="1"/>
  <c r="H16" i="23"/>
  <c r="H27" i="23" s="1"/>
  <c r="H8" i="23"/>
  <c r="H25" i="23" s="1"/>
  <c r="H4" i="23"/>
  <c r="H21" i="23" s="1"/>
  <c r="H30" i="22"/>
  <c r="H41" i="22" s="1"/>
  <c r="H11" i="22"/>
  <c r="H4" i="22"/>
  <c r="H35" i="22" s="1"/>
  <c r="H200" i="21"/>
  <c r="H211" i="21" s="1"/>
  <c r="H196" i="21"/>
  <c r="H209" i="21" s="1"/>
  <c r="H170" i="21"/>
  <c r="H181" i="21" s="1"/>
  <c r="H166" i="21"/>
  <c r="H179" i="21" s="1"/>
  <c r="H139" i="21"/>
  <c r="H150" i="21" s="1"/>
  <c r="H135" i="21"/>
  <c r="H148" i="21" s="1"/>
  <c r="H109" i="21"/>
  <c r="H120" i="21" s="1"/>
  <c r="H104" i="21"/>
  <c r="H118" i="21" s="1"/>
  <c r="H90" i="21"/>
  <c r="H71" i="21"/>
  <c r="H88" i="21" s="1"/>
  <c r="H44" i="21"/>
  <c r="H55" i="21" s="1"/>
  <c r="H40" i="21"/>
  <c r="H53" i="21" s="1"/>
  <c r="H13" i="21"/>
  <c r="H24" i="21" s="1"/>
  <c r="H9" i="21"/>
  <c r="H22" i="21" s="1"/>
  <c r="H4" i="21"/>
  <c r="H192" i="21" s="1"/>
  <c r="H42" i="60"/>
  <c r="H8" i="60"/>
  <c r="H40" i="60" s="1"/>
  <c r="H4" i="60"/>
  <c r="H36" i="60" s="1"/>
  <c r="H285" i="19"/>
  <c r="H281" i="19"/>
  <c r="H275" i="19"/>
  <c r="H271" i="19"/>
  <c r="H268" i="19"/>
  <c r="H262" i="19"/>
  <c r="H256" i="19"/>
  <c r="H250" i="19"/>
  <c r="H244" i="19"/>
  <c r="H238" i="19"/>
  <c r="H210" i="19"/>
  <c r="H199" i="19"/>
  <c r="H195" i="19"/>
  <c r="H191" i="19"/>
  <c r="H185" i="19"/>
  <c r="H181" i="19"/>
  <c r="H177" i="19"/>
  <c r="H171" i="19"/>
  <c r="H167" i="19"/>
  <c r="H163" i="19"/>
  <c r="H157" i="19"/>
  <c r="H153" i="19"/>
  <c r="H149" i="19"/>
  <c r="H145" i="19"/>
  <c r="H141" i="19"/>
  <c r="H137" i="19"/>
  <c r="H133" i="19"/>
  <c r="H129" i="19"/>
  <c r="H125" i="19"/>
  <c r="H121" i="19"/>
  <c r="H117" i="19"/>
  <c r="H112" i="19"/>
  <c r="H108" i="19"/>
  <c r="H101" i="19"/>
  <c r="H97" i="19"/>
  <c r="H87" i="19"/>
  <c r="H72" i="19"/>
  <c r="H64" i="19"/>
  <c r="H49" i="19"/>
  <c r="H45" i="19"/>
  <c r="H5" i="19"/>
  <c r="H293" i="19" s="1"/>
  <c r="H34" i="18"/>
  <c r="H45" i="18" s="1"/>
  <c r="H32" i="18"/>
  <c r="H18" i="18"/>
  <c r="H13" i="18"/>
  <c r="H43" i="18" s="1"/>
  <c r="H4" i="18"/>
  <c r="H39" i="18" s="1"/>
  <c r="H106" i="17"/>
  <c r="H102" i="17"/>
  <c r="H91" i="17"/>
  <c r="H87" i="17"/>
  <c r="H78" i="17"/>
  <c r="H74" i="17"/>
  <c r="H70" i="17"/>
  <c r="H63" i="17"/>
  <c r="H58" i="17"/>
  <c r="H52" i="17"/>
  <c r="H48" i="17"/>
  <c r="H25" i="17"/>
  <c r="H18" i="17"/>
  <c r="H20" i="17" s="1"/>
  <c r="H117" i="17" s="1"/>
  <c r="H4" i="17"/>
  <c r="H66" i="17" s="1"/>
  <c r="H21" i="16"/>
  <c r="G21" i="16"/>
  <c r="F21" i="16"/>
  <c r="E21" i="16"/>
  <c r="D21" i="16"/>
  <c r="C21" i="16"/>
  <c r="H79" i="16"/>
  <c r="H31" i="16"/>
  <c r="H28" i="16"/>
  <c r="H13" i="16"/>
  <c r="H4" i="16"/>
  <c r="H16" i="15"/>
  <c r="H27" i="15" s="1"/>
  <c r="H10" i="15"/>
  <c r="H25" i="15" s="1"/>
  <c r="H4" i="15"/>
  <c r="H21" i="15" s="1"/>
  <c r="H18" i="38"/>
  <c r="H29" i="38" s="1"/>
  <c r="H9" i="38"/>
  <c r="H27" i="38" s="1"/>
  <c r="H4" i="38"/>
  <c r="H23" i="38" s="1"/>
  <c r="H90" i="14"/>
  <c r="H101" i="14" s="1"/>
  <c r="H85" i="14"/>
  <c r="H99" i="14" s="1"/>
  <c r="H55" i="14"/>
  <c r="H66" i="14" s="1"/>
  <c r="H50" i="14"/>
  <c r="H64" i="14" s="1"/>
  <c r="H22" i="14"/>
  <c r="H33" i="14" s="1"/>
  <c r="H9" i="14"/>
  <c r="H31" i="14" s="1"/>
  <c r="H4" i="14"/>
  <c r="H95" i="14" s="1"/>
  <c r="G9" i="14"/>
  <c r="F9" i="14"/>
  <c r="E9" i="14"/>
  <c r="D9" i="14"/>
  <c r="C9" i="14"/>
  <c r="H14" i="58"/>
  <c r="D28" i="31" s="1"/>
  <c r="H9" i="58"/>
  <c r="H4" i="58"/>
  <c r="H20" i="58" s="1"/>
  <c r="H26" i="57"/>
  <c r="H8" i="57"/>
  <c r="H36" i="57" s="1"/>
  <c r="H4" i="57"/>
  <c r="H32" i="57" s="1"/>
  <c r="H28" i="13"/>
  <c r="H9" i="13"/>
  <c r="H26" i="13" s="1"/>
  <c r="H4" i="13"/>
  <c r="H22" i="13" s="1"/>
  <c r="H39" i="12"/>
  <c r="H50" i="12" s="1"/>
  <c r="D27" i="31" s="1"/>
  <c r="H19" i="12"/>
  <c r="H4" i="12"/>
  <c r="H44" i="12" s="1"/>
  <c r="H25" i="11"/>
  <c r="H37" i="11" s="1"/>
  <c r="H14" i="11"/>
  <c r="H35" i="11" s="1"/>
  <c r="H4" i="11"/>
  <c r="H31" i="11" s="1"/>
  <c r="H16" i="10"/>
  <c r="H11" i="10"/>
  <c r="H4" i="10"/>
  <c r="H22" i="10" s="1"/>
  <c r="H14" i="56"/>
  <c r="H26" i="56" s="1"/>
  <c r="H8" i="56"/>
  <c r="H24" i="56" s="1"/>
  <c r="H4" i="56"/>
  <c r="H20" i="56" s="1"/>
  <c r="H13" i="37"/>
  <c r="H25" i="37" s="1"/>
  <c r="H8" i="37"/>
  <c r="H23" i="37" s="1"/>
  <c r="H4" i="37"/>
  <c r="H19" i="37" s="1"/>
  <c r="H67" i="9"/>
  <c r="H49" i="9"/>
  <c r="H45" i="9"/>
  <c r="H38" i="9"/>
  <c r="H28" i="9"/>
  <c r="H24" i="9"/>
  <c r="H17" i="9"/>
  <c r="H5" i="9"/>
  <c r="H122" i="9" s="1"/>
  <c r="H15" i="59"/>
  <c r="D24" i="31" s="1"/>
  <c r="H9" i="59"/>
  <c r="H4" i="59"/>
  <c r="H21" i="59" s="1"/>
  <c r="H15" i="7"/>
  <c r="H27" i="7" s="1"/>
  <c r="H9" i="7"/>
  <c r="H25" i="7" s="1"/>
  <c r="H4" i="7"/>
  <c r="H21" i="7" s="1"/>
  <c r="H4" i="6"/>
  <c r="H38" i="6" s="1"/>
  <c r="H968" i="5"/>
  <c r="H960" i="5"/>
  <c r="H952" i="5"/>
  <c r="H943" i="5"/>
  <c r="H923" i="5"/>
  <c r="H892" i="5"/>
  <c r="H865" i="5"/>
  <c r="H854" i="5"/>
  <c r="H828" i="5"/>
  <c r="H769" i="5"/>
  <c r="H721" i="5"/>
  <c r="H717" i="5"/>
  <c r="H697" i="5"/>
  <c r="H657" i="5"/>
  <c r="H599" i="5"/>
  <c r="H450" i="5"/>
  <c r="H439" i="5"/>
  <c r="H330" i="5"/>
  <c r="H283" i="5"/>
  <c r="H308" i="5"/>
  <c r="H231" i="5"/>
  <c r="H190" i="5"/>
  <c r="H124" i="5"/>
  <c r="H117" i="5"/>
  <c r="H113" i="5"/>
  <c r="H94" i="5"/>
  <c r="H72" i="5"/>
  <c r="H68" i="5"/>
  <c r="H30" i="5"/>
  <c r="H15" i="5"/>
  <c r="E10" i="26"/>
  <c r="D10" i="26"/>
  <c r="C10" i="26"/>
  <c r="F10" i="26"/>
  <c r="F34" i="9"/>
  <c r="I108" i="17" l="1"/>
  <c r="I119" i="17" s="1"/>
  <c r="H37" i="26"/>
  <c r="D32" i="31"/>
  <c r="H24" i="28"/>
  <c r="D18" i="31"/>
  <c r="H25" i="59"/>
  <c r="D8" i="31"/>
  <c r="H24" i="58"/>
  <c r="D12" i="31"/>
  <c r="H42" i="29"/>
  <c r="D17" i="31"/>
  <c r="H26" i="28"/>
  <c r="D34" i="31"/>
  <c r="I26" i="10"/>
  <c r="E10" i="31"/>
  <c r="H44" i="29"/>
  <c r="D33" i="31"/>
  <c r="I25" i="59"/>
  <c r="E8" i="31"/>
  <c r="H26" i="10"/>
  <c r="D10" i="31"/>
  <c r="H28" i="10"/>
  <c r="D26" i="31"/>
  <c r="I543" i="5"/>
  <c r="I565" i="5"/>
  <c r="I377" i="5"/>
  <c r="I468" i="5"/>
  <c r="H86" i="16"/>
  <c r="H35" i="16"/>
  <c r="H27" i="59"/>
  <c r="H38" i="57"/>
  <c r="H69" i="16"/>
  <c r="H26" i="58"/>
  <c r="H21" i="27"/>
  <c r="H32" i="27" s="1"/>
  <c r="H51" i="19"/>
  <c r="H297" i="19" s="1"/>
  <c r="F49" i="31"/>
  <c r="H288" i="19"/>
  <c r="H299" i="19" s="1"/>
  <c r="H64" i="9"/>
  <c r="H114" i="21"/>
  <c r="H175" i="21"/>
  <c r="H18" i="21"/>
  <c r="H49" i="21"/>
  <c r="H84" i="21"/>
  <c r="H144" i="21"/>
  <c r="H205" i="21"/>
  <c r="H25" i="30"/>
  <c r="H70" i="30" s="1"/>
  <c r="H35" i="21"/>
  <c r="H66" i="21"/>
  <c r="H100" i="21"/>
  <c r="H131" i="21"/>
  <c r="H162" i="21"/>
  <c r="H61" i="19"/>
  <c r="H108" i="17"/>
  <c r="H119" i="17" s="1"/>
  <c r="H113" i="17"/>
  <c r="H80" i="14"/>
  <c r="H45" i="14"/>
  <c r="H27" i="14"/>
  <c r="H60" i="14"/>
  <c r="G30" i="60"/>
  <c r="H417" i="5" l="1"/>
  <c r="H887" i="5"/>
  <c r="I326" i="5"/>
  <c r="G60" i="30" l="1"/>
  <c r="F60" i="30"/>
  <c r="E60" i="30"/>
  <c r="D60" i="30"/>
  <c r="C60" i="30"/>
  <c r="H64" i="16" l="1"/>
  <c r="H81" i="16" s="1"/>
  <c r="D29" i="31" s="1"/>
  <c r="H824" i="5"/>
  <c r="H794" i="5"/>
  <c r="H92" i="16" l="1"/>
  <c r="H149" i="5" l="1"/>
  <c r="G149" i="5"/>
  <c r="H677" i="5"/>
  <c r="H543" i="5" l="1"/>
  <c r="H468" i="5"/>
  <c r="H88" i="9" l="1"/>
  <c r="H357" i="5" l="1"/>
  <c r="H326" i="5"/>
  <c r="H186" i="5"/>
  <c r="H47" i="30" l="1"/>
  <c r="H62" i="30" s="1"/>
  <c r="H72" i="30" s="1"/>
  <c r="F368" i="4" l="1"/>
  <c r="P369" i="4" l="1"/>
  <c r="H444" i="4"/>
  <c r="H652" i="5" l="1"/>
  <c r="G42" i="60" l="1"/>
  <c r="F42" i="60"/>
  <c r="E42" i="60"/>
  <c r="D42" i="60"/>
  <c r="C42" i="60"/>
  <c r="G8" i="60"/>
  <c r="G40" i="60" s="1"/>
  <c r="F8" i="60"/>
  <c r="F40" i="60" s="1"/>
  <c r="E8" i="60"/>
  <c r="E40" i="60" s="1"/>
  <c r="D8" i="60"/>
  <c r="D40" i="60" s="1"/>
  <c r="C8" i="60"/>
  <c r="C40" i="60" s="1"/>
  <c r="G4" i="60"/>
  <c r="G36" i="60" s="1"/>
  <c r="F4" i="60"/>
  <c r="F36" i="60" s="1"/>
  <c r="E4" i="60"/>
  <c r="E36" i="60" s="1"/>
  <c r="D4" i="60"/>
  <c r="D36" i="60" s="1"/>
  <c r="C4" i="60"/>
  <c r="C36" i="60" s="1"/>
  <c r="E955" i="5" l="1"/>
  <c r="G30" i="5"/>
  <c r="F30" i="5"/>
  <c r="E30" i="5"/>
  <c r="D30" i="5"/>
  <c r="C30" i="5"/>
  <c r="C46" i="60" l="1"/>
  <c r="D38" i="60" s="1"/>
  <c r="D46" i="60" s="1"/>
  <c r="E38" i="60" s="1"/>
  <c r="E46" i="60" s="1"/>
  <c r="F38" i="60" s="1"/>
  <c r="F46" i="60" s="1"/>
  <c r="G38" i="60" s="1"/>
  <c r="G46" i="60" s="1"/>
  <c r="H38" i="60" s="1"/>
  <c r="H46" i="60" s="1"/>
  <c r="I38" i="60" s="1"/>
  <c r="I46" i="60" s="1"/>
  <c r="H533" i="4" l="1"/>
  <c r="H52" i="24"/>
  <c r="H54" i="24" s="1"/>
  <c r="D31" i="31" s="1"/>
  <c r="H66" i="24" l="1"/>
  <c r="H491" i="4"/>
  <c r="G210" i="19" l="1"/>
  <c r="F210" i="19"/>
  <c r="E210" i="19"/>
  <c r="D210" i="19"/>
  <c r="C210" i="19"/>
  <c r="G199" i="19"/>
  <c r="F199" i="19"/>
  <c r="E199" i="19"/>
  <c r="D199" i="19"/>
  <c r="C199" i="19"/>
  <c r="G195" i="19"/>
  <c r="F195" i="19"/>
  <c r="E195" i="19"/>
  <c r="D195" i="19"/>
  <c r="C195" i="19"/>
  <c r="G181" i="19"/>
  <c r="F181" i="19"/>
  <c r="E181" i="19"/>
  <c r="D181" i="19"/>
  <c r="C181" i="19"/>
  <c r="G25" i="17"/>
  <c r="F25" i="17"/>
  <c r="E25" i="17"/>
  <c r="D25" i="17"/>
  <c r="C25" i="17"/>
  <c r="E34" i="9"/>
  <c r="G54" i="30" l="1"/>
  <c r="G47" i="30"/>
  <c r="G37" i="30"/>
  <c r="G18" i="30"/>
  <c r="G13" i="30"/>
  <c r="G7" i="30"/>
  <c r="G4" i="30"/>
  <c r="G67" i="30" s="1"/>
  <c r="G15" i="28"/>
  <c r="F34" i="31" s="1"/>
  <c r="G10" i="28"/>
  <c r="G24" i="28" s="1"/>
  <c r="G4" i="28"/>
  <c r="G20" i="28" s="1"/>
  <c r="G33" i="29"/>
  <c r="G44" i="29" s="1"/>
  <c r="G8" i="29"/>
  <c r="G42" i="29" s="1"/>
  <c r="G4" i="29"/>
  <c r="G38" i="29" s="1"/>
  <c r="G16" i="33"/>
  <c r="G27" i="33" s="1"/>
  <c r="G11" i="33"/>
  <c r="G25" i="33" s="1"/>
  <c r="G4" i="33"/>
  <c r="G21" i="33" s="1"/>
  <c r="G19" i="27"/>
  <c r="G15" i="27"/>
  <c r="G10" i="27"/>
  <c r="G30" i="27" s="1"/>
  <c r="G4" i="27"/>
  <c r="G26" i="27" s="1"/>
  <c r="G26" i="26"/>
  <c r="G37" i="26" s="1"/>
  <c r="G13" i="26"/>
  <c r="G4" i="26"/>
  <c r="G31" i="26" s="1"/>
  <c r="G21" i="24"/>
  <c r="G14" i="24"/>
  <c r="G4" i="24"/>
  <c r="G60" i="24" s="1"/>
  <c r="G14" i="39"/>
  <c r="G25" i="39" s="1"/>
  <c r="G9" i="39"/>
  <c r="G23" i="39" s="1"/>
  <c r="G4" i="39"/>
  <c r="G19" i="39" s="1"/>
  <c r="G12" i="43"/>
  <c r="G23" i="43" s="1"/>
  <c r="G8" i="43"/>
  <c r="G21" i="43" s="1"/>
  <c r="G4" i="43"/>
  <c r="G17" i="43" s="1"/>
  <c r="G16" i="23"/>
  <c r="G27" i="23" s="1"/>
  <c r="G8" i="23"/>
  <c r="G25" i="23" s="1"/>
  <c r="G4" i="23"/>
  <c r="G21" i="23" s="1"/>
  <c r="G30" i="22"/>
  <c r="G41" i="22" s="1"/>
  <c r="G14" i="22"/>
  <c r="G11" i="22"/>
  <c r="G4" i="22"/>
  <c r="G35" i="22" s="1"/>
  <c r="G200" i="21"/>
  <c r="G211" i="21" s="1"/>
  <c r="G196" i="21"/>
  <c r="G209" i="21" s="1"/>
  <c r="G170" i="21"/>
  <c r="G181" i="21" s="1"/>
  <c r="G166" i="21"/>
  <c r="G179" i="21" s="1"/>
  <c r="G139" i="21"/>
  <c r="G150" i="21" s="1"/>
  <c r="G135" i="21"/>
  <c r="G148" i="21" s="1"/>
  <c r="G109" i="21"/>
  <c r="G120" i="21" s="1"/>
  <c r="G104" i="21"/>
  <c r="G118" i="21" s="1"/>
  <c r="G90" i="21"/>
  <c r="G71" i="21"/>
  <c r="G88" i="21" s="1"/>
  <c r="G44" i="21"/>
  <c r="G55" i="21" s="1"/>
  <c r="G40" i="21"/>
  <c r="G53" i="21" s="1"/>
  <c r="G13" i="21"/>
  <c r="G24" i="21" s="1"/>
  <c r="G9" i="21"/>
  <c r="G22" i="21" s="1"/>
  <c r="G4" i="21"/>
  <c r="G205" i="21" s="1"/>
  <c r="G285" i="19"/>
  <c r="G281" i="19"/>
  <c r="G275" i="19"/>
  <c r="G271" i="19"/>
  <c r="G268" i="19"/>
  <c r="G262" i="19"/>
  <c r="G256" i="19"/>
  <c r="G250" i="19"/>
  <c r="G244" i="19"/>
  <c r="G238" i="19"/>
  <c r="G191" i="19"/>
  <c r="G185" i="19"/>
  <c r="G177" i="19"/>
  <c r="G171" i="19"/>
  <c r="G167" i="19"/>
  <c r="G163" i="19"/>
  <c r="G157" i="19"/>
  <c r="G153" i="19"/>
  <c r="G149" i="19"/>
  <c r="G145" i="19"/>
  <c r="G141" i="19"/>
  <c r="G137" i="19"/>
  <c r="G133" i="19"/>
  <c r="G129" i="19"/>
  <c r="G125" i="19"/>
  <c r="G121" i="19"/>
  <c r="G117" i="19"/>
  <c r="G112" i="19"/>
  <c r="G108" i="19"/>
  <c r="G101" i="19"/>
  <c r="G97" i="19"/>
  <c r="G87" i="19"/>
  <c r="G72" i="19"/>
  <c r="G64" i="19"/>
  <c r="G49" i="19"/>
  <c r="G45" i="19"/>
  <c r="G5" i="19"/>
  <c r="G61" i="19" s="1"/>
  <c r="G34" i="18"/>
  <c r="E30" i="31" s="1"/>
  <c r="G32" i="18"/>
  <c r="G18" i="18"/>
  <c r="G13" i="18"/>
  <c r="E14" i="31" s="1"/>
  <c r="G4" i="18"/>
  <c r="G39" i="18" s="1"/>
  <c r="G106" i="17"/>
  <c r="G102" i="17"/>
  <c r="G91" i="17"/>
  <c r="G87" i="17"/>
  <c r="G78" i="17"/>
  <c r="G74" i="17"/>
  <c r="G70" i="17"/>
  <c r="G63" i="17"/>
  <c r="G58" i="17"/>
  <c r="G52" i="17"/>
  <c r="G48" i="17"/>
  <c r="G18" i="17"/>
  <c r="G20" i="17" s="1"/>
  <c r="G117" i="17" s="1"/>
  <c r="G4" i="17"/>
  <c r="G113" i="17" s="1"/>
  <c r="G79" i="16"/>
  <c r="G64" i="16"/>
  <c r="G31" i="16"/>
  <c r="G28" i="16"/>
  <c r="G13" i="16"/>
  <c r="G4" i="16"/>
  <c r="G16" i="15"/>
  <c r="G27" i="15" s="1"/>
  <c r="G10" i="15"/>
  <c r="G25" i="15" s="1"/>
  <c r="G4" i="15"/>
  <c r="G21" i="15" s="1"/>
  <c r="G18" i="38"/>
  <c r="G29" i="38" s="1"/>
  <c r="G9" i="38"/>
  <c r="G27" i="38" s="1"/>
  <c r="G4" i="38"/>
  <c r="G23" i="38" s="1"/>
  <c r="G90" i="14"/>
  <c r="G101" i="14" s="1"/>
  <c r="G85" i="14"/>
  <c r="G99" i="14" s="1"/>
  <c r="G55" i="14"/>
  <c r="G66" i="14" s="1"/>
  <c r="G50" i="14"/>
  <c r="G64" i="14" s="1"/>
  <c r="G22" i="14"/>
  <c r="G33" i="14" s="1"/>
  <c r="G31" i="14"/>
  <c r="G4" i="14"/>
  <c r="G45" i="14" s="1"/>
  <c r="G14" i="58"/>
  <c r="G26" i="58" s="1"/>
  <c r="G9" i="58"/>
  <c r="G24" i="58" s="1"/>
  <c r="G4" i="58"/>
  <c r="G20" i="58" s="1"/>
  <c r="G26" i="57"/>
  <c r="G38" i="57" s="1"/>
  <c r="G8" i="57"/>
  <c r="G36" i="57" s="1"/>
  <c r="G4" i="57"/>
  <c r="G32" i="57" s="1"/>
  <c r="G28" i="13"/>
  <c r="G9" i="13"/>
  <c r="G26" i="13" s="1"/>
  <c r="G4" i="13"/>
  <c r="G22" i="13" s="1"/>
  <c r="G39" i="12"/>
  <c r="G50" i="12" s="1"/>
  <c r="F27" i="31" s="1"/>
  <c r="G19" i="12"/>
  <c r="G4" i="12"/>
  <c r="G44" i="12" s="1"/>
  <c r="G25" i="11"/>
  <c r="G37" i="11" s="1"/>
  <c r="G14" i="11"/>
  <c r="G35" i="11" s="1"/>
  <c r="G4" i="11"/>
  <c r="G31" i="11" s="1"/>
  <c r="G16" i="10"/>
  <c r="G28" i="10" s="1"/>
  <c r="G11" i="10"/>
  <c r="G26" i="10" s="1"/>
  <c r="G4" i="10"/>
  <c r="G22" i="10" s="1"/>
  <c r="G14" i="56"/>
  <c r="G26" i="56" s="1"/>
  <c r="G8" i="56"/>
  <c r="G24" i="56" s="1"/>
  <c r="G4" i="56"/>
  <c r="G20" i="56" s="1"/>
  <c r="G13" i="37"/>
  <c r="G25" i="37" s="1"/>
  <c r="G8" i="37"/>
  <c r="G23" i="37" s="1"/>
  <c r="G4" i="37"/>
  <c r="G19" i="37" s="1"/>
  <c r="G88" i="9"/>
  <c r="G67" i="9"/>
  <c r="G49" i="9"/>
  <c r="G45" i="9"/>
  <c r="G38" i="9"/>
  <c r="G28" i="9"/>
  <c r="G24" i="9"/>
  <c r="G17" i="9"/>
  <c r="G5" i="9"/>
  <c r="G122" i="9" s="1"/>
  <c r="G15" i="59"/>
  <c r="G27" i="59" s="1"/>
  <c r="G9" i="59"/>
  <c r="G25" i="59" s="1"/>
  <c r="G4" i="59"/>
  <c r="G21" i="59" s="1"/>
  <c r="G15" i="7"/>
  <c r="G27" i="7" s="1"/>
  <c r="G9" i="7"/>
  <c r="G25" i="7" s="1"/>
  <c r="G4" i="7"/>
  <c r="G21" i="7" s="1"/>
  <c r="G4" i="6"/>
  <c r="G38" i="6" s="1"/>
  <c r="F4" i="6"/>
  <c r="F38" i="6" s="1"/>
  <c r="F32" i="6"/>
  <c r="F44" i="6" s="1"/>
  <c r="G968" i="5"/>
  <c r="G960" i="5"/>
  <c r="G952" i="5"/>
  <c r="G943" i="5"/>
  <c r="H939" i="5"/>
  <c r="G923" i="5"/>
  <c r="G912" i="5"/>
  <c r="H916" i="5" s="1"/>
  <c r="G892" i="5"/>
  <c r="G865" i="5"/>
  <c r="G854" i="5"/>
  <c r="H841" i="5"/>
  <c r="G828" i="5"/>
  <c r="G824" i="5"/>
  <c r="G794" i="5"/>
  <c r="G769" i="5"/>
  <c r="G721" i="5"/>
  <c r="G717" i="5"/>
  <c r="G697" i="5"/>
  <c r="G657" i="5"/>
  <c r="G677" i="5"/>
  <c r="G652" i="5"/>
  <c r="G599" i="5"/>
  <c r="G628" i="5"/>
  <c r="I631" i="5" s="1"/>
  <c r="H565" i="5"/>
  <c r="G543" i="5"/>
  <c r="G526" i="5"/>
  <c r="G468" i="5"/>
  <c r="G450" i="5"/>
  <c r="G439" i="5"/>
  <c r="H435" i="5"/>
  <c r="G417" i="5"/>
  <c r="G330" i="5"/>
  <c r="H398" i="5"/>
  <c r="H377" i="5"/>
  <c r="G357" i="5"/>
  <c r="G283" i="5"/>
  <c r="G326" i="5"/>
  <c r="G308" i="5"/>
  <c r="H299" i="5"/>
  <c r="G231" i="5"/>
  <c r="H262" i="5"/>
  <c r="H226" i="5"/>
  <c r="G190" i="5"/>
  <c r="G186" i="5"/>
  <c r="G127" i="5"/>
  <c r="G124" i="5"/>
  <c r="G117" i="5"/>
  <c r="G113" i="5"/>
  <c r="G94" i="5"/>
  <c r="G72" i="5"/>
  <c r="G68" i="5"/>
  <c r="G15" i="5"/>
  <c r="G288" i="19" l="1"/>
  <c r="G86" i="16"/>
  <c r="G35" i="16"/>
  <c r="G377" i="5"/>
  <c r="F18" i="31"/>
  <c r="G26" i="28"/>
  <c r="G32" i="6"/>
  <c r="G44" i="6" s="1"/>
  <c r="H32" i="6"/>
  <c r="D23" i="31" s="1"/>
  <c r="G43" i="18"/>
  <c r="G45" i="18"/>
  <c r="G21" i="27"/>
  <c r="G32" i="27" s="1"/>
  <c r="F24" i="31"/>
  <c r="G299" i="19"/>
  <c r="G165" i="5"/>
  <c r="H165" i="5"/>
  <c r="H631" i="5"/>
  <c r="G202" i="5"/>
  <c r="H202" i="5"/>
  <c r="G485" i="5"/>
  <c r="H485" i="5"/>
  <c r="G278" i="5"/>
  <c r="H278" i="5"/>
  <c r="H505" i="5"/>
  <c r="G594" i="5"/>
  <c r="I594" i="5"/>
  <c r="G25" i="30"/>
  <c r="G70" i="30" s="1"/>
  <c r="F17" i="31"/>
  <c r="F28" i="31"/>
  <c r="F26" i="31"/>
  <c r="F8" i="31"/>
  <c r="G226" i="5"/>
  <c r="G262" i="5"/>
  <c r="G435" i="5"/>
  <c r="G916" i="5"/>
  <c r="G841" i="5"/>
  <c r="G939" i="5"/>
  <c r="G299" i="5"/>
  <c r="G398" i="5"/>
  <c r="G565" i="5"/>
  <c r="G631" i="5"/>
  <c r="G887" i="5"/>
  <c r="G505" i="5"/>
  <c r="G51" i="19"/>
  <c r="G297" i="19" s="1"/>
  <c r="G108" i="17"/>
  <c r="G119" i="17" s="1"/>
  <c r="G81" i="16"/>
  <c r="G92" i="16" s="1"/>
  <c r="G62" i="30"/>
  <c r="G72" i="30" s="1"/>
  <c r="F32" i="31"/>
  <c r="G16" i="22"/>
  <c r="G39" i="22" s="1"/>
  <c r="F10" i="31"/>
  <c r="F33" i="31"/>
  <c r="G35" i="21"/>
  <c r="G162" i="21"/>
  <c r="G66" i="21"/>
  <c r="G131" i="21"/>
  <c r="G100" i="21"/>
  <c r="G192" i="21"/>
  <c r="G18" i="21"/>
  <c r="G49" i="21"/>
  <c r="G84" i="21"/>
  <c r="G114" i="21"/>
  <c r="G144" i="21"/>
  <c r="G175" i="21"/>
  <c r="G293" i="19"/>
  <c r="G66" i="17"/>
  <c r="G69" i="16"/>
  <c r="G80" i="14"/>
  <c r="G27" i="14"/>
  <c r="G60" i="14"/>
  <c r="G95" i="14"/>
  <c r="G64" i="9"/>
  <c r="H594" i="5" l="1"/>
  <c r="H44" i="6"/>
  <c r="F29" i="31"/>
  <c r="F23" i="31" l="1"/>
  <c r="F628" i="5"/>
  <c r="E824" i="5" l="1"/>
  <c r="D824" i="5"/>
  <c r="C824" i="5"/>
  <c r="F824" i="5" l="1"/>
  <c r="E378" i="4" l="1"/>
  <c r="F357" i="5" l="1"/>
  <c r="D357" i="5"/>
  <c r="C357" i="5"/>
  <c r="F450" i="5" l="1"/>
  <c r="E450" i="5"/>
  <c r="D450" i="5"/>
  <c r="C450" i="5"/>
  <c r="F887" i="5" l="1"/>
  <c r="D887" i="5"/>
  <c r="C887" i="5"/>
  <c r="G552" i="4"/>
  <c r="I114" i="9" s="1"/>
  <c r="F552" i="4"/>
  <c r="I113" i="9" s="1"/>
  <c r="H115" i="9" l="1"/>
  <c r="H117" i="9" s="1"/>
  <c r="D25" i="31" s="1"/>
  <c r="D6" i="5"/>
  <c r="H128" i="9" l="1"/>
  <c r="F19" i="27"/>
  <c r="E19" i="27"/>
  <c r="D19" i="27"/>
  <c r="C19" i="27"/>
  <c r="F15" i="27"/>
  <c r="E15" i="27"/>
  <c r="D15" i="27"/>
  <c r="C15" i="27"/>
  <c r="F13" i="26"/>
  <c r="E13" i="26"/>
  <c r="D13" i="26"/>
  <c r="C13" i="26"/>
  <c r="D52" i="24"/>
  <c r="C52" i="24"/>
  <c r="F21" i="24"/>
  <c r="E21" i="24"/>
  <c r="D21" i="24"/>
  <c r="C21" i="24"/>
  <c r="E11" i="24"/>
  <c r="D11" i="24"/>
  <c r="C11" i="24"/>
  <c r="F14" i="24"/>
  <c r="E14" i="24"/>
  <c r="D14" i="24"/>
  <c r="C14" i="24"/>
  <c r="F14" i="22"/>
  <c r="E14" i="22"/>
  <c r="D14" i="22"/>
  <c r="C14" i="22"/>
  <c r="F11" i="22"/>
  <c r="E11" i="22"/>
  <c r="D11" i="22"/>
  <c r="C11" i="22"/>
  <c r="C285" i="19"/>
  <c r="F285" i="19"/>
  <c r="E285" i="19"/>
  <c r="D285" i="19"/>
  <c r="F268" i="19"/>
  <c r="E268" i="19"/>
  <c r="D268" i="19"/>
  <c r="C268" i="19"/>
  <c r="F281" i="19"/>
  <c r="E281" i="19"/>
  <c r="D281" i="19"/>
  <c r="C281" i="19"/>
  <c r="F275" i="19"/>
  <c r="E275" i="19"/>
  <c r="D275" i="19"/>
  <c r="C275" i="19"/>
  <c r="F271" i="19"/>
  <c r="E271" i="19"/>
  <c r="D271" i="19"/>
  <c r="C271" i="19"/>
  <c r="F32" i="18"/>
  <c r="E32" i="18"/>
  <c r="D32" i="18"/>
  <c r="C32" i="18"/>
  <c r="F18" i="18"/>
  <c r="E18" i="18"/>
  <c r="D18" i="18"/>
  <c r="C18" i="18"/>
  <c r="F31" i="16"/>
  <c r="E31" i="16"/>
  <c r="D31" i="16"/>
  <c r="C31" i="16"/>
  <c r="F11" i="10"/>
  <c r="E11" i="10"/>
  <c r="D11" i="10"/>
  <c r="C11" i="10"/>
  <c r="F67" i="9"/>
  <c r="E67" i="9"/>
  <c r="D67" i="9"/>
  <c r="C67" i="9"/>
  <c r="F49" i="9"/>
  <c r="D49" i="9"/>
  <c r="C49" i="9"/>
  <c r="E49" i="9"/>
  <c r="C16" i="24" l="1"/>
  <c r="E16" i="24"/>
  <c r="C54" i="24"/>
  <c r="D34" i="18"/>
  <c r="F21" i="27"/>
  <c r="F32" i="27" s="1"/>
  <c r="C21" i="27"/>
  <c r="E21" i="27"/>
  <c r="D21" i="27"/>
  <c r="C15" i="26"/>
  <c r="E16" i="22"/>
  <c r="F16" i="22"/>
  <c r="F39" i="22" s="1"/>
  <c r="C16" i="22"/>
  <c r="D15" i="26"/>
  <c r="D16" i="24"/>
  <c r="D54" i="24"/>
  <c r="E15" i="26"/>
  <c r="D16" i="22"/>
  <c r="F54" i="30"/>
  <c r="F47" i="30"/>
  <c r="F37" i="30"/>
  <c r="F23" i="30"/>
  <c r="F18" i="30"/>
  <c r="F13" i="30"/>
  <c r="F7" i="30"/>
  <c r="F4" i="30"/>
  <c r="F67" i="30" s="1"/>
  <c r="F15" i="28"/>
  <c r="F10" i="28"/>
  <c r="F4" i="28"/>
  <c r="F20" i="28" s="1"/>
  <c r="F33" i="29"/>
  <c r="F8" i="29"/>
  <c r="F4" i="29"/>
  <c r="F38" i="29" s="1"/>
  <c r="F16" i="33"/>
  <c r="F27" i="33" s="1"/>
  <c r="F11" i="33"/>
  <c r="F25" i="33" s="1"/>
  <c r="F4" i="33"/>
  <c r="F21" i="33" s="1"/>
  <c r="F10" i="27"/>
  <c r="F30" i="27" s="1"/>
  <c r="F4" i="27"/>
  <c r="F26" i="27" s="1"/>
  <c r="F26" i="26"/>
  <c r="F4" i="26"/>
  <c r="F31" i="26" s="1"/>
  <c r="G13" i="25"/>
  <c r="G24" i="25" s="1"/>
  <c r="G9" i="25"/>
  <c r="G22" i="25" s="1"/>
  <c r="G4" i="25"/>
  <c r="G18" i="25" s="1"/>
  <c r="F4" i="24"/>
  <c r="F60" i="24" s="1"/>
  <c r="F14" i="39"/>
  <c r="F25" i="39" s="1"/>
  <c r="F9" i="39"/>
  <c r="F23" i="39" s="1"/>
  <c r="F4" i="39"/>
  <c r="F19" i="39" s="1"/>
  <c r="F12" i="43"/>
  <c r="F23" i="43" s="1"/>
  <c r="F8" i="43"/>
  <c r="F21" i="43" s="1"/>
  <c r="F4" i="43"/>
  <c r="F17" i="43" s="1"/>
  <c r="F16" i="23"/>
  <c r="F27" i="23" s="1"/>
  <c r="F8" i="23"/>
  <c r="F25" i="23" s="1"/>
  <c r="F4" i="23"/>
  <c r="F21" i="23" s="1"/>
  <c r="F4" i="22"/>
  <c r="F35" i="22" s="1"/>
  <c r="F200" i="21"/>
  <c r="F211" i="21" s="1"/>
  <c r="F196" i="21"/>
  <c r="F209" i="21" s="1"/>
  <c r="F170" i="21"/>
  <c r="F181" i="21" s="1"/>
  <c r="F166" i="21"/>
  <c r="F179" i="21" s="1"/>
  <c r="F139" i="21"/>
  <c r="F150" i="21" s="1"/>
  <c r="F135" i="21"/>
  <c r="F148" i="21" s="1"/>
  <c r="F109" i="21"/>
  <c r="F120" i="21" s="1"/>
  <c r="F104" i="21"/>
  <c r="F118" i="21" s="1"/>
  <c r="F90" i="21"/>
  <c r="F71" i="21"/>
  <c r="F88" i="21" s="1"/>
  <c r="F44" i="21"/>
  <c r="F55" i="21" s="1"/>
  <c r="F40" i="21"/>
  <c r="F53" i="21" s="1"/>
  <c r="F13" i="21"/>
  <c r="F24" i="21" s="1"/>
  <c r="F9" i="21"/>
  <c r="F22" i="21" s="1"/>
  <c r="F4" i="21"/>
  <c r="F205" i="21" s="1"/>
  <c r="F262" i="19"/>
  <c r="F256" i="19"/>
  <c r="F250" i="19"/>
  <c r="F244" i="19"/>
  <c r="F238" i="19"/>
  <c r="F191" i="19"/>
  <c r="F185" i="19"/>
  <c r="F177" i="19"/>
  <c r="F171" i="19"/>
  <c r="F167" i="19"/>
  <c r="F163" i="19"/>
  <c r="F157" i="19"/>
  <c r="F153" i="19"/>
  <c r="F149" i="19"/>
  <c r="F145" i="19"/>
  <c r="F141" i="19"/>
  <c r="F137" i="19"/>
  <c r="F133" i="19"/>
  <c r="F129" i="19"/>
  <c r="F125" i="19"/>
  <c r="F121" i="19"/>
  <c r="F117" i="19"/>
  <c r="F112" i="19"/>
  <c r="F108" i="19"/>
  <c r="F101" i="19"/>
  <c r="F97" i="19"/>
  <c r="F87" i="19"/>
  <c r="F72" i="19"/>
  <c r="F64" i="19"/>
  <c r="F49" i="19"/>
  <c r="F45" i="19"/>
  <c r="F5" i="19"/>
  <c r="F293" i="19" s="1"/>
  <c r="G23" i="20"/>
  <c r="G34" i="20" s="1"/>
  <c r="G8" i="20"/>
  <c r="G32" i="20" s="1"/>
  <c r="G4" i="20"/>
  <c r="G28" i="20" s="1"/>
  <c r="F34" i="18"/>
  <c r="F13" i="18"/>
  <c r="D14" i="31" s="1"/>
  <c r="F14" i="31" s="1"/>
  <c r="F4" i="18"/>
  <c r="F39" i="18" s="1"/>
  <c r="F106" i="17"/>
  <c r="F102" i="17"/>
  <c r="F91" i="17"/>
  <c r="F87" i="17"/>
  <c r="F78" i="17"/>
  <c r="F74" i="17"/>
  <c r="F70" i="17"/>
  <c r="F63" i="17"/>
  <c r="F58" i="17"/>
  <c r="F52" i="17"/>
  <c r="F48" i="17"/>
  <c r="F18" i="17"/>
  <c r="F20" i="17" s="1"/>
  <c r="F117" i="17" s="1"/>
  <c r="F4" i="17"/>
  <c r="F113" i="17" s="1"/>
  <c r="F79" i="16"/>
  <c r="F64" i="16"/>
  <c r="F28" i="16"/>
  <c r="F13" i="16"/>
  <c r="F4" i="16"/>
  <c r="F16" i="15"/>
  <c r="F27" i="15" s="1"/>
  <c r="F10" i="15"/>
  <c r="F25" i="15" s="1"/>
  <c r="F4" i="15"/>
  <c r="F21" i="15" s="1"/>
  <c r="F18" i="38"/>
  <c r="F29" i="38" s="1"/>
  <c r="F9" i="38"/>
  <c r="F27" i="38" s="1"/>
  <c r="F4" i="38"/>
  <c r="F23" i="38" s="1"/>
  <c r="F90" i="14"/>
  <c r="F101" i="14" s="1"/>
  <c r="F85" i="14"/>
  <c r="F99" i="14" s="1"/>
  <c r="F55" i="14"/>
  <c r="F66" i="14" s="1"/>
  <c r="F50" i="14"/>
  <c r="F64" i="14" s="1"/>
  <c r="F22" i="14"/>
  <c r="F33" i="14" s="1"/>
  <c r="F31" i="14"/>
  <c r="F4" i="14"/>
  <c r="F95" i="14" s="1"/>
  <c r="F14" i="58"/>
  <c r="F9" i="58"/>
  <c r="F4" i="58"/>
  <c r="F20" i="58" s="1"/>
  <c r="F26" i="57"/>
  <c r="F38" i="57" s="1"/>
  <c r="F8" i="57"/>
  <c r="F36" i="57" s="1"/>
  <c r="F4" i="57"/>
  <c r="F32" i="57" s="1"/>
  <c r="F28" i="13"/>
  <c r="F9" i="13"/>
  <c r="F26" i="13" s="1"/>
  <c r="F4" i="13"/>
  <c r="F22" i="13" s="1"/>
  <c r="F39" i="12"/>
  <c r="F50" i="12" s="1"/>
  <c r="F19" i="12"/>
  <c r="F4" i="12"/>
  <c r="F44" i="12" s="1"/>
  <c r="F25" i="11"/>
  <c r="F37" i="11" s="1"/>
  <c r="F14" i="11"/>
  <c r="F35" i="11" s="1"/>
  <c r="F4" i="11"/>
  <c r="F31" i="11" s="1"/>
  <c r="F16" i="10"/>
  <c r="F26" i="10"/>
  <c r="F4" i="10"/>
  <c r="F22" i="10" s="1"/>
  <c r="F14" i="56"/>
  <c r="F26" i="56" s="1"/>
  <c r="F8" i="56"/>
  <c r="F24" i="56" s="1"/>
  <c r="F4" i="56"/>
  <c r="F20" i="56" s="1"/>
  <c r="F13" i="37"/>
  <c r="F25" i="37" s="1"/>
  <c r="F8" i="37"/>
  <c r="F23" i="37" s="1"/>
  <c r="F4" i="37"/>
  <c r="F19" i="37" s="1"/>
  <c r="F88" i="9"/>
  <c r="F45" i="9"/>
  <c r="F38" i="9"/>
  <c r="F28" i="9"/>
  <c r="F24" i="9"/>
  <c r="F17" i="9"/>
  <c r="F5" i="9"/>
  <c r="F122" i="9" s="1"/>
  <c r="F15" i="59"/>
  <c r="F9" i="59"/>
  <c r="F4" i="59"/>
  <c r="F21" i="59" s="1"/>
  <c r="F15" i="7"/>
  <c r="F27" i="7" s="1"/>
  <c r="F9" i="7"/>
  <c r="F25" i="7" s="1"/>
  <c r="F4" i="7"/>
  <c r="F21" i="7" s="1"/>
  <c r="F86" i="16" l="1"/>
  <c r="F35" i="16"/>
  <c r="F288" i="19"/>
  <c r="F299" i="19" s="1"/>
  <c r="F62" i="30"/>
  <c r="F72" i="30" s="1"/>
  <c r="F43" i="18"/>
  <c r="F45" i="18"/>
  <c r="D30" i="31"/>
  <c r="F30" i="31" s="1"/>
  <c r="F108" i="17"/>
  <c r="F119" i="17" s="1"/>
  <c r="F26" i="58"/>
  <c r="F25" i="59"/>
  <c r="F24" i="58"/>
  <c r="F26" i="28"/>
  <c r="F27" i="59"/>
  <c r="F28" i="10"/>
  <c r="F25" i="30"/>
  <c r="F70" i="30" s="1"/>
  <c r="F24" i="28"/>
  <c r="F42" i="29"/>
  <c r="F44" i="29"/>
  <c r="F37" i="26"/>
  <c r="F30" i="22"/>
  <c r="F41" i="22" s="1"/>
  <c r="F51" i="19"/>
  <c r="F297" i="19" s="1"/>
  <c r="F81" i="16"/>
  <c r="F69" i="16"/>
  <c r="F64" i="9"/>
  <c r="F35" i="21"/>
  <c r="F66" i="21"/>
  <c r="F100" i="21"/>
  <c r="F162" i="21"/>
  <c r="F192" i="21"/>
  <c r="F131" i="21"/>
  <c r="F18" i="21"/>
  <c r="F49" i="21"/>
  <c r="F84" i="21"/>
  <c r="F114" i="21"/>
  <c r="F144" i="21"/>
  <c r="F175" i="21"/>
  <c r="F61" i="19"/>
  <c r="F66" i="17"/>
  <c r="F45" i="14"/>
  <c r="F80" i="14"/>
  <c r="F27" i="14"/>
  <c r="F60" i="14"/>
  <c r="E117" i="5"/>
  <c r="E127" i="5"/>
  <c r="F127" i="5"/>
  <c r="D127" i="5"/>
  <c r="C127" i="5"/>
  <c r="F117" i="5"/>
  <c r="D117" i="5"/>
  <c r="C117" i="5"/>
  <c r="D308" i="5"/>
  <c r="F968" i="5"/>
  <c r="F960" i="5"/>
  <c r="F952" i="5"/>
  <c r="F943" i="5"/>
  <c r="F923" i="5"/>
  <c r="F916" i="5"/>
  <c r="F892" i="5"/>
  <c r="F865" i="5"/>
  <c r="F854" i="5"/>
  <c r="F841" i="5"/>
  <c r="F828" i="5"/>
  <c r="F794" i="5"/>
  <c r="F769" i="5"/>
  <c r="F721" i="5"/>
  <c r="F717" i="5"/>
  <c r="F697" i="5"/>
  <c r="F657" i="5"/>
  <c r="F677" i="5"/>
  <c r="F652" i="5"/>
  <c r="F599" i="5"/>
  <c r="F631" i="5"/>
  <c r="F565" i="5"/>
  <c r="F543" i="5"/>
  <c r="F439" i="5"/>
  <c r="F435" i="5"/>
  <c r="F417" i="5"/>
  <c r="F330" i="5"/>
  <c r="F283" i="5"/>
  <c r="F308" i="5"/>
  <c r="F231" i="5"/>
  <c r="F262" i="5"/>
  <c r="F202" i="5"/>
  <c r="F190" i="5"/>
  <c r="F149" i="5"/>
  <c r="F124" i="5"/>
  <c r="F113" i="5"/>
  <c r="F94" i="5"/>
  <c r="F72" i="5"/>
  <c r="F68" i="5"/>
  <c r="F15" i="5"/>
  <c r="F485" i="5" l="1"/>
  <c r="F92" i="16"/>
  <c r="F939" i="5"/>
  <c r="F186" i="5"/>
  <c r="F505" i="5"/>
  <c r="F526" i="5"/>
  <c r="F299" i="5"/>
  <c r="F226" i="5"/>
  <c r="F377" i="5"/>
  <c r="F398" i="5"/>
  <c r="F594" i="5"/>
  <c r="F165" i="5"/>
  <c r="F326" i="5"/>
  <c r="F278" i="5"/>
  <c r="F468" i="5"/>
  <c r="E914" i="5" l="1"/>
  <c r="Q365" i="4" l="1"/>
  <c r="Q368" i="4"/>
  <c r="E380" i="4" l="1"/>
  <c r="I393" i="4" l="1"/>
  <c r="I392" i="4"/>
  <c r="I391" i="4"/>
  <c r="I390" i="4"/>
  <c r="I389" i="4"/>
  <c r="I388" i="4"/>
  <c r="I387" i="4"/>
  <c r="E47" i="30" l="1"/>
  <c r="E858" i="5"/>
  <c r="D18" i="38" l="1"/>
  <c r="C18" i="38"/>
  <c r="E18" i="38" l="1"/>
  <c r="C916" i="5" l="1"/>
  <c r="E916" i="5"/>
  <c r="E887" i="5"/>
  <c r="E357" i="5"/>
  <c r="Q371" i="4" l="1"/>
  <c r="H529" i="4"/>
  <c r="H550" i="4"/>
  <c r="E52" i="24" l="1"/>
  <c r="E54" i="24" s="1"/>
  <c r="C71" i="21" l="1"/>
  <c r="E185" i="19"/>
  <c r="D185" i="19"/>
  <c r="C185" i="19"/>
  <c r="E63" i="17"/>
  <c r="D63" i="17"/>
  <c r="C63" i="17"/>
  <c r="E8" i="57"/>
  <c r="E36" i="57" s="1"/>
  <c r="D8" i="57"/>
  <c r="C8" i="57"/>
  <c r="C906" i="5"/>
  <c r="E697" i="5"/>
  <c r="D697" i="5"/>
  <c r="C697" i="5"/>
  <c r="C652" i="5"/>
  <c r="E308" i="5"/>
  <c r="E72" i="5"/>
  <c r="D72" i="5"/>
  <c r="E124" i="5"/>
  <c r="D124" i="5"/>
  <c r="E190" i="5"/>
  <c r="D190" i="5"/>
  <c r="E231" i="5"/>
  <c r="D231" i="5"/>
  <c r="E283" i="5"/>
  <c r="D283" i="5"/>
  <c r="E330" i="5"/>
  <c r="D330" i="5"/>
  <c r="E439" i="5"/>
  <c r="D439" i="5"/>
  <c r="E599" i="5"/>
  <c r="D599" i="5"/>
  <c r="E657" i="5"/>
  <c r="D657" i="5"/>
  <c r="E721" i="5"/>
  <c r="D721" i="5"/>
  <c r="E769" i="5"/>
  <c r="D769" i="5"/>
  <c r="E828" i="5"/>
  <c r="D828" i="5"/>
  <c r="E892" i="5"/>
  <c r="D892" i="5"/>
  <c r="E943" i="5"/>
  <c r="D943" i="5"/>
  <c r="E968" i="5"/>
  <c r="D968" i="5"/>
  <c r="C968" i="5"/>
  <c r="C943" i="5"/>
  <c r="C892" i="5"/>
  <c r="C828" i="5"/>
  <c r="C769" i="5"/>
  <c r="C721" i="5"/>
  <c r="C657" i="5"/>
  <c r="C599" i="5"/>
  <c r="C490" i="5"/>
  <c r="C439" i="5"/>
  <c r="C330" i="5"/>
  <c r="C283" i="5"/>
  <c r="C231" i="5"/>
  <c r="C190" i="5"/>
  <c r="C124" i="5"/>
  <c r="C72" i="5"/>
  <c r="E202" i="5"/>
  <c r="D202" i="5"/>
  <c r="C202" i="5"/>
  <c r="E157" i="4"/>
  <c r="E209" i="4" s="1"/>
  <c r="E261" i="4" s="1"/>
  <c r="E311" i="4" s="1"/>
  <c r="E54" i="30"/>
  <c r="E37" i="30"/>
  <c r="E23" i="30"/>
  <c r="E18" i="30"/>
  <c r="E13" i="30"/>
  <c r="E7" i="30"/>
  <c r="E4" i="30"/>
  <c r="E67" i="30" s="1"/>
  <c r="E15" i="28"/>
  <c r="E10" i="28"/>
  <c r="E24" i="28" s="1"/>
  <c r="E4" i="28"/>
  <c r="E20" i="28" s="1"/>
  <c r="E33" i="29"/>
  <c r="E8" i="29"/>
  <c r="E4" i="29"/>
  <c r="E38" i="29" s="1"/>
  <c r="E16" i="33"/>
  <c r="E27" i="33" s="1"/>
  <c r="E11" i="33"/>
  <c r="E25" i="33" s="1"/>
  <c r="E4" i="33"/>
  <c r="E21" i="33" s="1"/>
  <c r="E32" i="27"/>
  <c r="E10" i="27"/>
  <c r="E30" i="27" s="1"/>
  <c r="E4" i="27"/>
  <c r="E26" i="27" s="1"/>
  <c r="E26" i="26"/>
  <c r="E4" i="26"/>
  <c r="E31" i="26" s="1"/>
  <c r="F13" i="25"/>
  <c r="F24" i="25" s="1"/>
  <c r="F9" i="25"/>
  <c r="F22" i="25" s="1"/>
  <c r="F4" i="25"/>
  <c r="F18" i="25" s="1"/>
  <c r="E4" i="24"/>
  <c r="E60" i="24" s="1"/>
  <c r="E14" i="39"/>
  <c r="E25" i="39" s="1"/>
  <c r="E9" i="39"/>
  <c r="E23" i="39" s="1"/>
  <c r="E4" i="39"/>
  <c r="E19" i="39" s="1"/>
  <c r="E12" i="43"/>
  <c r="E23" i="43" s="1"/>
  <c r="E8" i="43"/>
  <c r="E21" i="43" s="1"/>
  <c r="E4" i="43"/>
  <c r="E17" i="43" s="1"/>
  <c r="E16" i="23"/>
  <c r="E27" i="23" s="1"/>
  <c r="E8" i="23"/>
  <c r="E25" i="23" s="1"/>
  <c r="E4" i="23"/>
  <c r="E21" i="23" s="1"/>
  <c r="E30" i="22"/>
  <c r="E41" i="22" s="1"/>
  <c r="E39" i="22"/>
  <c r="E4" i="22"/>
  <c r="E35" i="22" s="1"/>
  <c r="E200" i="21"/>
  <c r="E211" i="21" s="1"/>
  <c r="E196" i="21"/>
  <c r="E209" i="21" s="1"/>
  <c r="E170" i="21"/>
  <c r="E181" i="21" s="1"/>
  <c r="E166" i="21"/>
  <c r="E179" i="21" s="1"/>
  <c r="E139" i="21"/>
  <c r="E150" i="21" s="1"/>
  <c r="E135" i="21"/>
  <c r="E148" i="21" s="1"/>
  <c r="E109" i="21"/>
  <c r="E120" i="21" s="1"/>
  <c r="E104" i="21"/>
  <c r="E118" i="21" s="1"/>
  <c r="E90" i="21"/>
  <c r="E71" i="21"/>
  <c r="E88" i="21" s="1"/>
  <c r="E44" i="21"/>
  <c r="E55" i="21" s="1"/>
  <c r="E40" i="21"/>
  <c r="E53" i="21" s="1"/>
  <c r="E13" i="21"/>
  <c r="E24" i="21" s="1"/>
  <c r="E9" i="21"/>
  <c r="E22" i="21" s="1"/>
  <c r="E4" i="21"/>
  <c r="E262" i="19"/>
  <c r="E256" i="19"/>
  <c r="E250" i="19"/>
  <c r="E244" i="19"/>
  <c r="E238" i="19"/>
  <c r="E191" i="19"/>
  <c r="E177" i="19"/>
  <c r="E171" i="19"/>
  <c r="E167" i="19"/>
  <c r="E163" i="19"/>
  <c r="E157" i="19"/>
  <c r="E153" i="19"/>
  <c r="E149" i="19"/>
  <c r="E145" i="19"/>
  <c r="E141" i="19"/>
  <c r="E137" i="19"/>
  <c r="E133" i="19"/>
  <c r="E129" i="19"/>
  <c r="E125" i="19"/>
  <c r="E121" i="19"/>
  <c r="E117" i="19"/>
  <c r="E112" i="19"/>
  <c r="E108" i="19"/>
  <c r="E101" i="19"/>
  <c r="E97" i="19"/>
  <c r="E87" i="19"/>
  <c r="E72" i="19"/>
  <c r="E64" i="19"/>
  <c r="E49" i="19"/>
  <c r="E45" i="19"/>
  <c r="E5" i="19"/>
  <c r="E293" i="19" s="1"/>
  <c r="F23" i="20"/>
  <c r="F34" i="20" s="1"/>
  <c r="F8" i="20"/>
  <c r="F32" i="20" s="1"/>
  <c r="F4" i="20"/>
  <c r="F28" i="20" s="1"/>
  <c r="E34" i="18"/>
  <c r="E13" i="18"/>
  <c r="E4" i="18"/>
  <c r="E39" i="18" s="1"/>
  <c r="E106" i="17"/>
  <c r="E102" i="17"/>
  <c r="E91" i="17"/>
  <c r="E87" i="17"/>
  <c r="E78" i="17"/>
  <c r="E74" i="17"/>
  <c r="E70" i="17"/>
  <c r="E58" i="17"/>
  <c r="E52" i="17"/>
  <c r="E48" i="17"/>
  <c r="E18" i="17"/>
  <c r="E20" i="17" s="1"/>
  <c r="E117" i="17" s="1"/>
  <c r="E4" i="17"/>
  <c r="E113" i="17" s="1"/>
  <c r="E79" i="16"/>
  <c r="E64" i="16"/>
  <c r="E28" i="16"/>
  <c r="E13" i="16"/>
  <c r="E4" i="16"/>
  <c r="E16" i="15"/>
  <c r="E27" i="15" s="1"/>
  <c r="E10" i="15"/>
  <c r="E25" i="15" s="1"/>
  <c r="E4" i="15"/>
  <c r="E21" i="15" s="1"/>
  <c r="E29" i="38"/>
  <c r="E9" i="38"/>
  <c r="E27" i="38" s="1"/>
  <c r="E4" i="38"/>
  <c r="E23" i="38" s="1"/>
  <c r="E90" i="14"/>
  <c r="E101" i="14" s="1"/>
  <c r="E85" i="14"/>
  <c r="E99" i="14" s="1"/>
  <c r="E55" i="14"/>
  <c r="E66" i="14" s="1"/>
  <c r="E50" i="14"/>
  <c r="E64" i="14" s="1"/>
  <c r="E22" i="14"/>
  <c r="E33" i="14" s="1"/>
  <c r="E31" i="14"/>
  <c r="E4" i="14"/>
  <c r="E95" i="14" s="1"/>
  <c r="E14" i="58"/>
  <c r="E9" i="58"/>
  <c r="E4" i="58"/>
  <c r="E20" i="58" s="1"/>
  <c r="E26" i="57"/>
  <c r="E38" i="57" s="1"/>
  <c r="E4" i="57"/>
  <c r="E32" i="57" s="1"/>
  <c r="E28" i="13"/>
  <c r="E9" i="13"/>
  <c r="E26" i="13" s="1"/>
  <c r="E4" i="13"/>
  <c r="E22" i="13" s="1"/>
  <c r="E39" i="12"/>
  <c r="E50" i="12" s="1"/>
  <c r="E19" i="12"/>
  <c r="E4" i="12"/>
  <c r="E44" i="12" s="1"/>
  <c r="E25" i="11"/>
  <c r="E37" i="11" s="1"/>
  <c r="E14" i="11"/>
  <c r="E35" i="11" s="1"/>
  <c r="E4" i="11"/>
  <c r="E31" i="11" s="1"/>
  <c r="E16" i="10"/>
  <c r="E26" i="10"/>
  <c r="E4" i="10"/>
  <c r="E22" i="10" s="1"/>
  <c r="E14" i="56"/>
  <c r="E26" i="56" s="1"/>
  <c r="E8" i="56"/>
  <c r="E24" i="56" s="1"/>
  <c r="E4" i="56"/>
  <c r="E20" i="56" s="1"/>
  <c r="E13" i="37"/>
  <c r="E25" i="37" s="1"/>
  <c r="E8" i="37"/>
  <c r="E23" i="37" s="1"/>
  <c r="E4" i="37"/>
  <c r="E19" i="37" s="1"/>
  <c r="E45" i="9"/>
  <c r="E38" i="9"/>
  <c r="E28" i="9"/>
  <c r="E24" i="9"/>
  <c r="E17" i="9"/>
  <c r="E5" i="9"/>
  <c r="E122" i="9" s="1"/>
  <c r="E15" i="59"/>
  <c r="E9" i="59"/>
  <c r="E4" i="59"/>
  <c r="E21" i="59" s="1"/>
  <c r="E15" i="7"/>
  <c r="E27" i="7" s="1"/>
  <c r="E9" i="7"/>
  <c r="E25" i="7" s="1"/>
  <c r="E4" i="7"/>
  <c r="E21" i="7" s="1"/>
  <c r="E32" i="6"/>
  <c r="E4" i="6"/>
  <c r="E38" i="6" s="1"/>
  <c r="E960" i="5"/>
  <c r="E952" i="5"/>
  <c r="E923" i="5"/>
  <c r="E865" i="5"/>
  <c r="E854" i="5"/>
  <c r="E841" i="5"/>
  <c r="E717" i="5"/>
  <c r="E677" i="5"/>
  <c r="E565" i="5"/>
  <c r="E485" i="5"/>
  <c r="E262" i="5"/>
  <c r="E149" i="5"/>
  <c r="E113" i="5"/>
  <c r="E94" i="5"/>
  <c r="E68" i="5"/>
  <c r="E15" i="5"/>
  <c r="E86" i="16" l="1"/>
  <c r="E35" i="16"/>
  <c r="E288" i="19"/>
  <c r="E299" i="19" s="1"/>
  <c r="E51" i="19"/>
  <c r="E297" i="19" s="1"/>
  <c r="E108" i="17"/>
  <c r="E119" i="17" s="1"/>
  <c r="E25" i="59"/>
  <c r="E37" i="26"/>
  <c r="E27" i="59"/>
  <c r="E43" i="18"/>
  <c r="E26" i="28"/>
  <c r="E26" i="58"/>
  <c r="E44" i="6"/>
  <c r="E45" i="18"/>
  <c r="E88" i="9"/>
  <c r="E81" i="16"/>
  <c r="E62" i="30"/>
  <c r="E72" i="30" s="1"/>
  <c r="E44" i="29"/>
  <c r="E28" i="10"/>
  <c r="E42" i="29"/>
  <c r="E543" i="5"/>
  <c r="E794" i="5"/>
  <c r="E631" i="5"/>
  <c r="E652" i="5"/>
  <c r="E435" i="5"/>
  <c r="E326" i="5"/>
  <c r="E165" i="5"/>
  <c r="E377" i="5"/>
  <c r="E278" i="5"/>
  <c r="E526" i="5"/>
  <c r="E186" i="5"/>
  <c r="E594" i="5"/>
  <c r="E226" i="5"/>
  <c r="E398" i="5"/>
  <c r="E299" i="5"/>
  <c r="E417" i="5"/>
  <c r="E939" i="5"/>
  <c r="E505" i="5"/>
  <c r="E18" i="21"/>
  <c r="E144" i="21"/>
  <c r="E131" i="21"/>
  <c r="E114" i="21"/>
  <c r="E100" i="21"/>
  <c r="E84" i="21"/>
  <c r="E35" i="21"/>
  <c r="E205" i="21"/>
  <c r="E192" i="21"/>
  <c r="E175" i="21"/>
  <c r="E162" i="21"/>
  <c r="E49" i="21"/>
  <c r="E66" i="21"/>
  <c r="E468" i="5"/>
  <c r="E25" i="30"/>
  <c r="E70" i="30" s="1"/>
  <c r="E24" i="58"/>
  <c r="E69" i="16"/>
  <c r="E61" i="19"/>
  <c r="E66" i="17"/>
  <c r="E45" i="14"/>
  <c r="E80" i="14"/>
  <c r="E60" i="14"/>
  <c r="E27" i="14"/>
  <c r="E64" i="9"/>
  <c r="E92" i="16" l="1"/>
  <c r="D911" i="5" l="1"/>
  <c r="D916" i="5" s="1"/>
  <c r="B39" i="32" l="1"/>
  <c r="B41" i="32" s="1"/>
  <c r="B43" i="32" s="1"/>
  <c r="B27" i="32"/>
  <c r="B29" i="32" s="1"/>
  <c r="B31" i="32" s="1"/>
  <c r="B13" i="32"/>
  <c r="B15" i="32" s="1"/>
  <c r="B17" i="32" s="1"/>
  <c r="E383" i="4" l="1"/>
  <c r="E381" i="4"/>
  <c r="E379" i="4"/>
  <c r="E377" i="4"/>
  <c r="D652" i="5" l="1"/>
  <c r="C308" i="5"/>
  <c r="J393" i="4" l="1"/>
  <c r="J392" i="4"/>
  <c r="J391" i="4"/>
  <c r="J390" i="4"/>
  <c r="J389" i="4"/>
  <c r="J388" i="4"/>
  <c r="J387" i="4"/>
  <c r="H508" i="4" l="1"/>
  <c r="C115" i="9" l="1"/>
  <c r="E66" i="24" l="1"/>
  <c r="D115" i="9"/>
  <c r="D13" i="30" l="1"/>
  <c r="C13" i="30"/>
  <c r="D15" i="59" l="1"/>
  <c r="D27" i="59" s="1"/>
  <c r="C15" i="59"/>
  <c r="C27" i="59" s="1"/>
  <c r="D9" i="59"/>
  <c r="D25" i="59" s="1"/>
  <c r="C9" i="59"/>
  <c r="D4" i="59"/>
  <c r="D21" i="59" s="1"/>
  <c r="C4" i="59"/>
  <c r="C21" i="59" s="1"/>
  <c r="C25" i="59" l="1"/>
  <c r="C31" i="59" l="1"/>
  <c r="D23" i="59" s="1"/>
  <c r="D31" i="59" s="1"/>
  <c r="E23" i="59" s="1"/>
  <c r="E31" i="59" s="1"/>
  <c r="F23" i="59" s="1"/>
  <c r="F31" i="59" s="1"/>
  <c r="G23" i="59" s="1"/>
  <c r="G31" i="59" s="1"/>
  <c r="H23" i="59" s="1"/>
  <c r="H31" i="59" s="1"/>
  <c r="I23" i="59" s="1"/>
  <c r="I31" i="59" s="1"/>
  <c r="H551" i="4"/>
  <c r="H552" i="4" l="1"/>
  <c r="I115" i="9" s="1"/>
  <c r="I117" i="9" s="1"/>
  <c r="I128" i="9" l="1"/>
  <c r="E25" i="31"/>
  <c r="F115" i="9"/>
  <c r="F117" i="9" s="1"/>
  <c r="F128" i="9" s="1"/>
  <c r="G115" i="9"/>
  <c r="F52" i="24"/>
  <c r="F54" i="24" s="1"/>
  <c r="F66" i="24" s="1"/>
  <c r="G52" i="24"/>
  <c r="G54" i="24" s="1"/>
  <c r="F53" i="31"/>
  <c r="D53" i="31"/>
  <c r="F45" i="31"/>
  <c r="D45" i="31"/>
  <c r="C7" i="58"/>
  <c r="C9" i="58" s="1"/>
  <c r="D5" i="19"/>
  <c r="D293" i="19" s="1"/>
  <c r="C5" i="19"/>
  <c r="C293" i="19" s="1"/>
  <c r="D4" i="30"/>
  <c r="D67" i="30" s="1"/>
  <c r="C4" i="30"/>
  <c r="C67" i="30" s="1"/>
  <c r="D4" i="28"/>
  <c r="D20" i="28" s="1"/>
  <c r="C4" i="28"/>
  <c r="C20" i="28" s="1"/>
  <c r="D4" i="29"/>
  <c r="D38" i="29" s="1"/>
  <c r="C4" i="29"/>
  <c r="C38" i="29" s="1"/>
  <c r="D4" i="33"/>
  <c r="D21" i="33" s="1"/>
  <c r="C4" i="33"/>
  <c r="C21" i="33" s="1"/>
  <c r="D4" i="27"/>
  <c r="D26" i="27" s="1"/>
  <c r="C4" i="27"/>
  <c r="C26" i="27" s="1"/>
  <c r="D4" i="26"/>
  <c r="D31" i="26" s="1"/>
  <c r="C4" i="26"/>
  <c r="C31" i="26" s="1"/>
  <c r="E4" i="25"/>
  <c r="E18" i="25" s="1"/>
  <c r="D4" i="25"/>
  <c r="D18" i="25" s="1"/>
  <c r="C4" i="25"/>
  <c r="C18" i="25" s="1"/>
  <c r="D4" i="24"/>
  <c r="D60" i="24" s="1"/>
  <c r="C4" i="24"/>
  <c r="C60" i="24" s="1"/>
  <c r="D4" i="39"/>
  <c r="D19" i="39" s="1"/>
  <c r="C4" i="39"/>
  <c r="C19" i="39" s="1"/>
  <c r="D4" i="43"/>
  <c r="D17" i="43" s="1"/>
  <c r="C4" i="43"/>
  <c r="C17" i="43" s="1"/>
  <c r="D4" i="23"/>
  <c r="D21" i="23" s="1"/>
  <c r="C4" i="23"/>
  <c r="C21" i="23" s="1"/>
  <c r="D4" i="22"/>
  <c r="D35" i="22" s="1"/>
  <c r="C4" i="22"/>
  <c r="C35" i="22" s="1"/>
  <c r="D4" i="21"/>
  <c r="C4" i="21"/>
  <c r="C192" i="21" s="1"/>
  <c r="E4" i="20"/>
  <c r="E28" i="20" s="1"/>
  <c r="D4" i="20"/>
  <c r="D28" i="20" s="1"/>
  <c r="C4" i="20"/>
  <c r="C28" i="20" s="1"/>
  <c r="D4" i="18"/>
  <c r="D39" i="18" s="1"/>
  <c r="C4" i="18"/>
  <c r="C39" i="18" s="1"/>
  <c r="D4" i="17"/>
  <c r="D66" i="17" s="1"/>
  <c r="C4" i="17"/>
  <c r="C66" i="17" s="1"/>
  <c r="D4" i="16"/>
  <c r="C4" i="16"/>
  <c r="C86" i="16" s="1"/>
  <c r="D4" i="15"/>
  <c r="D21" i="15" s="1"/>
  <c r="C4" i="15"/>
  <c r="C21" i="15" s="1"/>
  <c r="D4" i="38"/>
  <c r="D23" i="38" s="1"/>
  <c r="C4" i="38"/>
  <c r="C23" i="38" s="1"/>
  <c r="D4" i="14"/>
  <c r="D27" i="14" s="1"/>
  <c r="C4" i="14"/>
  <c r="D4" i="58"/>
  <c r="D20" i="58" s="1"/>
  <c r="C4" i="58"/>
  <c r="C20" i="58" s="1"/>
  <c r="D4" i="57"/>
  <c r="D32" i="57" s="1"/>
  <c r="C4" i="57"/>
  <c r="C32" i="57" s="1"/>
  <c r="D4" i="13"/>
  <c r="D22" i="13" s="1"/>
  <c r="C4" i="13"/>
  <c r="C22" i="13" s="1"/>
  <c r="D4" i="12"/>
  <c r="D44" i="12" s="1"/>
  <c r="C4" i="12"/>
  <c r="C44" i="12" s="1"/>
  <c r="D4" i="11"/>
  <c r="D31" i="11" s="1"/>
  <c r="C4" i="11"/>
  <c r="C31" i="11" s="1"/>
  <c r="D4" i="10"/>
  <c r="D22" i="10" s="1"/>
  <c r="C4" i="10"/>
  <c r="C22" i="10" s="1"/>
  <c r="D4" i="56"/>
  <c r="D20" i="56" s="1"/>
  <c r="C4" i="56"/>
  <c r="C20" i="56" s="1"/>
  <c r="D4" i="37"/>
  <c r="D19" i="37" s="1"/>
  <c r="C4" i="37"/>
  <c r="C19" i="37" s="1"/>
  <c r="D5" i="9"/>
  <c r="D64" i="9" s="1"/>
  <c r="C5" i="9"/>
  <c r="C64" i="9" s="1"/>
  <c r="D4" i="7"/>
  <c r="D21" i="7" s="1"/>
  <c r="C4" i="7"/>
  <c r="C21" i="7" s="1"/>
  <c r="D4" i="6"/>
  <c r="D38" i="6" s="1"/>
  <c r="C4" i="6"/>
  <c r="C38" i="6" s="1"/>
  <c r="C960" i="5"/>
  <c r="C952" i="5"/>
  <c r="C923" i="5"/>
  <c r="C907" i="5"/>
  <c r="C865" i="5"/>
  <c r="C854" i="5"/>
  <c r="C841" i="5"/>
  <c r="C794" i="5"/>
  <c r="C717" i="5"/>
  <c r="C677" i="5"/>
  <c r="C565" i="5"/>
  <c r="C505" i="5"/>
  <c r="C485" i="5"/>
  <c r="C417" i="5"/>
  <c r="C398" i="5"/>
  <c r="C278" i="5"/>
  <c r="C226" i="5"/>
  <c r="C186" i="5"/>
  <c r="C165" i="5"/>
  <c r="C113" i="5"/>
  <c r="C94" i="5"/>
  <c r="C68" i="5"/>
  <c r="C15" i="5"/>
  <c r="D69" i="16" l="1"/>
  <c r="D35" i="16"/>
  <c r="G117" i="9"/>
  <c r="G128" i="9" s="1"/>
  <c r="G66" i="24"/>
  <c r="F31" i="31"/>
  <c r="D100" i="21"/>
  <c r="C149" i="5"/>
  <c r="C299" i="5"/>
  <c r="C631" i="5"/>
  <c r="C35" i="21"/>
  <c r="C262" i="5"/>
  <c r="C377" i="5"/>
  <c r="C162" i="21"/>
  <c r="C468" i="5"/>
  <c r="C543" i="5"/>
  <c r="C326" i="5"/>
  <c r="C113" i="17"/>
  <c r="C939" i="5"/>
  <c r="D114" i="21"/>
  <c r="D86" i="16"/>
  <c r="C435" i="5"/>
  <c r="C526" i="5"/>
  <c r="C594" i="5"/>
  <c r="C122" i="9"/>
  <c r="D61" i="19"/>
  <c r="D18" i="21"/>
  <c r="C66" i="21"/>
  <c r="D144" i="21"/>
  <c r="D122" i="9"/>
  <c r="D66" i="21"/>
  <c r="C114" i="21"/>
  <c r="D192" i="21"/>
  <c r="C61" i="19"/>
  <c r="D113" i="17"/>
  <c r="D84" i="21"/>
  <c r="C131" i="21"/>
  <c r="D205" i="21"/>
  <c r="C45" i="14"/>
  <c r="C95" i="14"/>
  <c r="C80" i="14"/>
  <c r="C60" i="14"/>
  <c r="D60" i="14"/>
  <c r="D80" i="14"/>
  <c r="D95" i="14"/>
  <c r="D45" i="14"/>
  <c r="D35" i="21"/>
  <c r="C84" i="21"/>
  <c r="D162" i="21"/>
  <c r="C69" i="16"/>
  <c r="C49" i="21"/>
  <c r="D131" i="21"/>
  <c r="C175" i="21"/>
  <c r="C205" i="21"/>
  <c r="D49" i="21"/>
  <c r="C100" i="21"/>
  <c r="D175" i="21"/>
  <c r="C18" i="21"/>
  <c r="C144" i="21"/>
  <c r="C27" i="14"/>
  <c r="C8" i="5"/>
  <c r="F25" i="31" l="1"/>
  <c r="C962" i="5"/>
  <c r="C974" i="5" s="1"/>
  <c r="C119" i="5"/>
  <c r="C972" i="5" s="1"/>
  <c r="C26" i="26" l="1"/>
  <c r="D26" i="26"/>
  <c r="F469" i="4" l="1"/>
  <c r="H433" i="4" l="1"/>
  <c r="E384" i="4" l="1"/>
  <c r="K393" i="4" l="1"/>
  <c r="I7" i="26" s="1"/>
  <c r="K392" i="4"/>
  <c r="K391" i="4"/>
  <c r="I7" i="16" s="1"/>
  <c r="K390" i="4"/>
  <c r="I6" i="12" s="1"/>
  <c r="K389" i="4"/>
  <c r="I8" i="9" s="1"/>
  <c r="K388" i="4"/>
  <c r="I7" i="6" s="1"/>
  <c r="K387" i="4"/>
  <c r="I7" i="5" s="1"/>
  <c r="J394" i="4"/>
  <c r="J368" i="4"/>
  <c r="M367" i="4" s="1"/>
  <c r="F367" i="4" l="1"/>
  <c r="H7" i="24"/>
  <c r="D9" i="58"/>
  <c r="K394" i="4"/>
  <c r="E115" i="9" l="1"/>
  <c r="E117" i="9" s="1"/>
  <c r="C15" i="7"/>
  <c r="C27" i="7" s="1"/>
  <c r="E45" i="32"/>
  <c r="E39" i="32"/>
  <c r="E9" i="32"/>
  <c r="H432" i="4"/>
  <c r="D14" i="58"/>
  <c r="D26" i="58" s="1"/>
  <c r="C14" i="58"/>
  <c r="C26" i="58" s="1"/>
  <c r="C26" i="57"/>
  <c r="C38" i="57" s="1"/>
  <c r="D26" i="57"/>
  <c r="D38" i="57" s="1"/>
  <c r="C19" i="31"/>
  <c r="C9" i="39"/>
  <c r="C23" i="39" s="1"/>
  <c r="D9" i="39"/>
  <c r="D23" i="39" s="1"/>
  <c r="D171" i="19"/>
  <c r="C171" i="19"/>
  <c r="D167" i="19"/>
  <c r="C167" i="19"/>
  <c r="D153" i="19"/>
  <c r="C153" i="19"/>
  <c r="D36" i="57"/>
  <c r="C36" i="57"/>
  <c r="C250" i="19"/>
  <c r="E43" i="32"/>
  <c r="E37" i="32"/>
  <c r="H426" i="4"/>
  <c r="C48" i="17"/>
  <c r="D48" i="17"/>
  <c r="D22" i="14"/>
  <c r="D33" i="14" s="1"/>
  <c r="C22" i="14"/>
  <c r="C33" i="14" s="1"/>
  <c r="D19" i="12"/>
  <c r="C19" i="12"/>
  <c r="F369" i="4"/>
  <c r="H442" i="4"/>
  <c r="H427" i="4"/>
  <c r="D108" i="19"/>
  <c r="C108" i="19"/>
  <c r="D112" i="19"/>
  <c r="C112" i="19"/>
  <c r="D250" i="19"/>
  <c r="C14" i="56"/>
  <c r="C26" i="56" s="1"/>
  <c r="D14" i="56"/>
  <c r="D26" i="56" s="1"/>
  <c r="D8" i="56"/>
  <c r="D24" i="56" s="1"/>
  <c r="C8" i="56"/>
  <c r="C24" i="56" s="1"/>
  <c r="C33" i="29"/>
  <c r="C44" i="29" s="1"/>
  <c r="D33" i="29"/>
  <c r="D939" i="5"/>
  <c r="D52" i="17"/>
  <c r="C52" i="17"/>
  <c r="D594" i="5"/>
  <c r="C58" i="17"/>
  <c r="C70" i="17"/>
  <c r="C74" i="17"/>
  <c r="C78" i="17"/>
  <c r="C87" i="17"/>
  <c r="C91" i="17"/>
  <c r="C102" i="17"/>
  <c r="C106" i="17"/>
  <c r="D58" i="17"/>
  <c r="E41" i="32"/>
  <c r="E31" i="32"/>
  <c r="E29" i="32"/>
  <c r="E25" i="32"/>
  <c r="E11" i="32"/>
  <c r="E13" i="32"/>
  <c r="E15" i="32"/>
  <c r="E17" i="32"/>
  <c r="E19" i="32"/>
  <c r="E21" i="32"/>
  <c r="E23" i="32"/>
  <c r="E27" i="32"/>
  <c r="E33" i="32"/>
  <c r="E35" i="32"/>
  <c r="F59" i="31"/>
  <c r="D15" i="5"/>
  <c r="D68" i="5"/>
  <c r="D94" i="5"/>
  <c r="D113" i="5"/>
  <c r="D149" i="5"/>
  <c r="D165" i="5"/>
  <c r="D186" i="5"/>
  <c r="D226" i="5"/>
  <c r="D262" i="5"/>
  <c r="D278" i="5"/>
  <c r="D299" i="5"/>
  <c r="D326" i="5"/>
  <c r="D377" i="5"/>
  <c r="D398" i="5"/>
  <c r="D417" i="5"/>
  <c r="D435" i="5"/>
  <c r="D468" i="5"/>
  <c r="D485" i="5"/>
  <c r="D505" i="5"/>
  <c r="D526" i="5"/>
  <c r="D543" i="5"/>
  <c r="D565" i="5"/>
  <c r="D631" i="5"/>
  <c r="D677" i="5"/>
  <c r="D717" i="5"/>
  <c r="D794" i="5"/>
  <c r="D841" i="5"/>
  <c r="D854" i="5"/>
  <c r="D865" i="5"/>
  <c r="D923" i="5"/>
  <c r="D952" i="5"/>
  <c r="D960" i="5"/>
  <c r="D32" i="6"/>
  <c r="D44" i="6" s="1"/>
  <c r="D88" i="9"/>
  <c r="D117" i="9" s="1"/>
  <c r="D64" i="16"/>
  <c r="D79" i="16"/>
  <c r="D45" i="18"/>
  <c r="D244" i="19"/>
  <c r="C101" i="19"/>
  <c r="D101" i="19"/>
  <c r="C28" i="9"/>
  <c r="D28" i="9"/>
  <c r="C64" i="19"/>
  <c r="C72" i="19"/>
  <c r="C87" i="19"/>
  <c r="C97" i="19"/>
  <c r="C117" i="19"/>
  <c r="C121" i="19"/>
  <c r="C125" i="19"/>
  <c r="C129" i="19"/>
  <c r="C133" i="19"/>
  <c r="C137" i="19"/>
  <c r="C141" i="19"/>
  <c r="C145" i="19"/>
  <c r="C149" i="19"/>
  <c r="C157" i="19"/>
  <c r="C163" i="19"/>
  <c r="C177" i="19"/>
  <c r="C191" i="19"/>
  <c r="C238" i="19"/>
  <c r="C244" i="19"/>
  <c r="C256" i="19"/>
  <c r="C262" i="19"/>
  <c r="D64" i="19"/>
  <c r="D72" i="19"/>
  <c r="D87" i="19"/>
  <c r="D97" i="19"/>
  <c r="D117" i="19"/>
  <c r="D121" i="19"/>
  <c r="D125" i="19"/>
  <c r="D129" i="19"/>
  <c r="D133" i="19"/>
  <c r="D137" i="19"/>
  <c r="D141" i="19"/>
  <c r="D145" i="19"/>
  <c r="D149" i="19"/>
  <c r="D157" i="19"/>
  <c r="D163" i="19"/>
  <c r="D177" i="19"/>
  <c r="D191" i="19"/>
  <c r="D238" i="19"/>
  <c r="D256" i="19"/>
  <c r="D262" i="19"/>
  <c r="D45" i="19"/>
  <c r="C45" i="19"/>
  <c r="C45" i="9"/>
  <c r="C9" i="9"/>
  <c r="C17" i="9"/>
  <c r="C24" i="9"/>
  <c r="C38" i="9"/>
  <c r="C88" i="9"/>
  <c r="C117" i="9" s="1"/>
  <c r="D45" i="9"/>
  <c r="D17" i="9"/>
  <c r="D24" i="9"/>
  <c r="D38" i="9"/>
  <c r="C16" i="23"/>
  <c r="C27" i="23" s="1"/>
  <c r="D16" i="23"/>
  <c r="D27" i="23" s="1"/>
  <c r="C49" i="19"/>
  <c r="D49" i="19"/>
  <c r="C7" i="30"/>
  <c r="D7" i="30"/>
  <c r="C18" i="30"/>
  <c r="D18" i="30"/>
  <c r="C23" i="30"/>
  <c r="D23" i="30"/>
  <c r="C37" i="30"/>
  <c r="D37" i="30"/>
  <c r="C47" i="30"/>
  <c r="D47" i="30"/>
  <c r="C54" i="30"/>
  <c r="D54" i="30"/>
  <c r="D15" i="28"/>
  <c r="D26" i="28" s="1"/>
  <c r="C10" i="28"/>
  <c r="D10" i="28"/>
  <c r="C15" i="28"/>
  <c r="C26" i="28" s="1"/>
  <c r="C8" i="29"/>
  <c r="C42" i="29" s="1"/>
  <c r="D8" i="29"/>
  <c r="D42" i="29" s="1"/>
  <c r="C11" i="33"/>
  <c r="C25" i="33" s="1"/>
  <c r="D11" i="33"/>
  <c r="D25" i="33" s="1"/>
  <c r="C16" i="33"/>
  <c r="C27" i="33" s="1"/>
  <c r="D16" i="33"/>
  <c r="D27" i="33" s="1"/>
  <c r="C10" i="27"/>
  <c r="C30" i="27" s="1"/>
  <c r="D10" i="27"/>
  <c r="D30" i="27" s="1"/>
  <c r="C32" i="27"/>
  <c r="D32" i="27"/>
  <c r="C35" i="26"/>
  <c r="D37" i="26"/>
  <c r="C9" i="25"/>
  <c r="C22" i="25" s="1"/>
  <c r="D9" i="25"/>
  <c r="D22" i="25" s="1"/>
  <c r="E9" i="25"/>
  <c r="E22" i="25"/>
  <c r="C13" i="25"/>
  <c r="C24" i="25" s="1"/>
  <c r="D13" i="25"/>
  <c r="D24" i="25"/>
  <c r="E13" i="25"/>
  <c r="E24" i="25" s="1"/>
  <c r="C64" i="24"/>
  <c r="C66" i="24"/>
  <c r="C14" i="39"/>
  <c r="C25" i="39" s="1"/>
  <c r="D14" i="39"/>
  <c r="D25" i="39" s="1"/>
  <c r="C8" i="43"/>
  <c r="C21" i="43" s="1"/>
  <c r="D8" i="43"/>
  <c r="D21" i="43" s="1"/>
  <c r="C12" i="43"/>
  <c r="C23" i="43" s="1"/>
  <c r="D12" i="43"/>
  <c r="D23" i="43" s="1"/>
  <c r="C8" i="23"/>
  <c r="C25" i="23" s="1"/>
  <c r="D8" i="23"/>
  <c r="D25" i="23" s="1"/>
  <c r="C39" i="22"/>
  <c r="D39" i="22"/>
  <c r="C30" i="22"/>
  <c r="C41" i="22" s="1"/>
  <c r="D30" i="22"/>
  <c r="D41" i="22" s="1"/>
  <c r="C9" i="21"/>
  <c r="C22" i="21" s="1"/>
  <c r="D9" i="21"/>
  <c r="D22" i="21" s="1"/>
  <c r="C13" i="21"/>
  <c r="C24" i="21" s="1"/>
  <c r="D13" i="21"/>
  <c r="D24" i="21" s="1"/>
  <c r="C40" i="21"/>
  <c r="C53" i="21" s="1"/>
  <c r="D40" i="21"/>
  <c r="D53" i="21" s="1"/>
  <c r="C44" i="21"/>
  <c r="C55" i="21" s="1"/>
  <c r="D44" i="21"/>
  <c r="D55" i="21" s="1"/>
  <c r="C88" i="21"/>
  <c r="D71" i="21"/>
  <c r="D88" i="21" s="1"/>
  <c r="C90" i="21"/>
  <c r="D90" i="21"/>
  <c r="C104" i="21"/>
  <c r="C118" i="21" s="1"/>
  <c r="D104" i="21"/>
  <c r="D118" i="21" s="1"/>
  <c r="C109" i="21"/>
  <c r="C120" i="21" s="1"/>
  <c r="D109" i="21"/>
  <c r="D120" i="21" s="1"/>
  <c r="C135" i="21"/>
  <c r="C148" i="21" s="1"/>
  <c r="D135" i="21"/>
  <c r="D148" i="21" s="1"/>
  <c r="C139" i="21"/>
  <c r="C150" i="21" s="1"/>
  <c r="D139" i="21"/>
  <c r="D150" i="21" s="1"/>
  <c r="C166" i="21"/>
  <c r="C179" i="21" s="1"/>
  <c r="D166" i="21"/>
  <c r="D179" i="21" s="1"/>
  <c r="C170" i="21"/>
  <c r="C181" i="21" s="1"/>
  <c r="D170" i="21"/>
  <c r="D181" i="21" s="1"/>
  <c r="C196" i="21"/>
  <c r="C209" i="21" s="1"/>
  <c r="D196" i="21"/>
  <c r="D209" i="21" s="1"/>
  <c r="C200" i="21"/>
  <c r="C211" i="21" s="1"/>
  <c r="D200" i="21"/>
  <c r="D211" i="21" s="1"/>
  <c r="C8" i="20"/>
  <c r="C32" i="20"/>
  <c r="D8" i="20"/>
  <c r="D32" i="20" s="1"/>
  <c r="E8" i="20"/>
  <c r="E32" i="20"/>
  <c r="C23" i="20"/>
  <c r="C34" i="20" s="1"/>
  <c r="D23" i="20"/>
  <c r="D34" i="20" s="1"/>
  <c r="E23" i="20"/>
  <c r="E34" i="20" s="1"/>
  <c r="C13" i="18"/>
  <c r="C43" i="18" s="1"/>
  <c r="C34" i="18"/>
  <c r="C45" i="18" s="1"/>
  <c r="C18" i="17"/>
  <c r="C20" i="17" s="1"/>
  <c r="C117" i="17" s="1"/>
  <c r="D18" i="17"/>
  <c r="D20" i="17" s="1"/>
  <c r="D117" i="17" s="1"/>
  <c r="D70" i="17"/>
  <c r="D74" i="17"/>
  <c r="D78" i="17"/>
  <c r="D87" i="17"/>
  <c r="D91" i="17"/>
  <c r="D102" i="17"/>
  <c r="D106" i="17"/>
  <c r="C8" i="16"/>
  <c r="C13" i="16"/>
  <c r="D13" i="16"/>
  <c r="C28" i="16"/>
  <c r="D28" i="16"/>
  <c r="C64" i="16"/>
  <c r="C79" i="16"/>
  <c r="C10" i="15"/>
  <c r="C25" i="15" s="1"/>
  <c r="D10" i="15"/>
  <c r="D25" i="15" s="1"/>
  <c r="C16" i="15"/>
  <c r="C27" i="15" s="1"/>
  <c r="D16" i="15"/>
  <c r="D27" i="15" s="1"/>
  <c r="D29" i="38"/>
  <c r="C9" i="38"/>
  <c r="C27" i="38" s="1"/>
  <c r="D9" i="38"/>
  <c r="D27" i="38" s="1"/>
  <c r="C29" i="38"/>
  <c r="C31" i="14"/>
  <c r="D31" i="14"/>
  <c r="C50" i="14"/>
  <c r="C64" i="14" s="1"/>
  <c r="D50" i="14"/>
  <c r="D64" i="14" s="1"/>
  <c r="C55" i="14"/>
  <c r="C66" i="14" s="1"/>
  <c r="D55" i="14"/>
  <c r="D66" i="14" s="1"/>
  <c r="C85" i="14"/>
  <c r="C99" i="14" s="1"/>
  <c r="D85" i="14"/>
  <c r="D99" i="14" s="1"/>
  <c r="C90" i="14"/>
  <c r="C101" i="14" s="1"/>
  <c r="D90" i="14"/>
  <c r="D101" i="14" s="1"/>
  <c r="C9" i="13"/>
  <c r="C26" i="13" s="1"/>
  <c r="D9" i="13"/>
  <c r="D26" i="13" s="1"/>
  <c r="C16" i="13"/>
  <c r="C28" i="13" s="1"/>
  <c r="D28" i="13"/>
  <c r="C10" i="12"/>
  <c r="D10" i="12"/>
  <c r="C39" i="12"/>
  <c r="C50" i="12" s="1"/>
  <c r="D39" i="12"/>
  <c r="D50" i="12" s="1"/>
  <c r="C14" i="11"/>
  <c r="C35" i="11" s="1"/>
  <c r="D14" i="11"/>
  <c r="D35" i="11" s="1"/>
  <c r="C25" i="11"/>
  <c r="C37" i="11" s="1"/>
  <c r="D25" i="11"/>
  <c r="D37" i="11" s="1"/>
  <c r="C26" i="10"/>
  <c r="C16" i="10"/>
  <c r="C28" i="10" s="1"/>
  <c r="D16" i="10"/>
  <c r="C8" i="37"/>
  <c r="C23" i="37" s="1"/>
  <c r="D8" i="37"/>
  <c r="D23" i="37" s="1"/>
  <c r="D13" i="37"/>
  <c r="D25" i="37" s="1"/>
  <c r="C13" i="37"/>
  <c r="C25" i="37" s="1"/>
  <c r="C9" i="7"/>
  <c r="C25" i="7" s="1"/>
  <c r="D9" i="7"/>
  <c r="D25" i="7" s="1"/>
  <c r="D15" i="7"/>
  <c r="D27" i="7" s="1"/>
  <c r="C13" i="6"/>
  <c r="C32" i="6"/>
  <c r="C44" i="6" s="1"/>
  <c r="F384" i="4"/>
  <c r="H419" i="4"/>
  <c r="H420" i="4"/>
  <c r="H421" i="4"/>
  <c r="H422" i="4"/>
  <c r="H423" i="4"/>
  <c r="H424" i="4"/>
  <c r="H425" i="4"/>
  <c r="H428" i="4"/>
  <c r="H429" i="4"/>
  <c r="H431" i="4"/>
  <c r="H430" i="4"/>
  <c r="H434" i="4"/>
  <c r="H435" i="4"/>
  <c r="H436" i="4"/>
  <c r="H437" i="4"/>
  <c r="H438" i="4"/>
  <c r="H439" i="4"/>
  <c r="H440" i="4"/>
  <c r="H441" i="4"/>
  <c r="H443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61" i="4"/>
  <c r="H459" i="4"/>
  <c r="H460" i="4"/>
  <c r="H463" i="4"/>
  <c r="H465" i="4"/>
  <c r="H466" i="4"/>
  <c r="H467" i="4"/>
  <c r="H468" i="4"/>
  <c r="G469" i="4"/>
  <c r="D26" i="10"/>
  <c r="D13" i="18"/>
  <c r="D43" i="18" s="1"/>
  <c r="C37" i="26"/>
  <c r="F370" i="4" l="1"/>
  <c r="F372" i="4" s="1"/>
  <c r="D288" i="19"/>
  <c r="D299" i="19" s="1"/>
  <c r="C28" i="25"/>
  <c r="D20" i="25" s="1"/>
  <c r="D28" i="25" s="1"/>
  <c r="E20" i="25" s="1"/>
  <c r="E28" i="25" s="1"/>
  <c r="F20" i="25" s="1"/>
  <c r="F28" i="25" s="1"/>
  <c r="G20" i="25" s="1"/>
  <c r="G28" i="25" s="1"/>
  <c r="C288" i="19"/>
  <c r="C299" i="19" s="1"/>
  <c r="D108" i="17"/>
  <c r="D119" i="17" s="1"/>
  <c r="C108" i="17"/>
  <c r="C119" i="17" s="1"/>
  <c r="C38" i="20"/>
  <c r="D30" i="20" s="1"/>
  <c r="D38" i="20" s="1"/>
  <c r="E30" i="20" s="1"/>
  <c r="E38" i="20" s="1"/>
  <c r="F30" i="20" s="1"/>
  <c r="F38" i="20" s="1"/>
  <c r="G30" i="20" s="1"/>
  <c r="G38" i="20" s="1"/>
  <c r="C33" i="16"/>
  <c r="C90" i="16" s="1"/>
  <c r="C154" i="21"/>
  <c r="D146" i="21" s="1"/>
  <c r="D154" i="21" s="1"/>
  <c r="E146" i="21" s="1"/>
  <c r="E154" i="21" s="1"/>
  <c r="F146" i="21" s="1"/>
  <c r="F154" i="21" s="1"/>
  <c r="G146" i="21" s="1"/>
  <c r="G154" i="21" s="1"/>
  <c r="H146" i="21" s="1"/>
  <c r="H154" i="21" s="1"/>
  <c r="I146" i="21" s="1"/>
  <c r="I154" i="21" s="1"/>
  <c r="C25" i="30"/>
  <c r="C70" i="30" s="1"/>
  <c r="C51" i="19"/>
  <c r="C297" i="19" s="1"/>
  <c r="D56" i="31"/>
  <c r="D59" i="31" s="1"/>
  <c r="C45" i="22"/>
  <c r="D37" i="22" s="1"/>
  <c r="D45" i="22" s="1"/>
  <c r="E37" i="22" s="1"/>
  <c r="D51" i="19"/>
  <c r="D297" i="19" s="1"/>
  <c r="C21" i="12"/>
  <c r="C48" i="12" s="1"/>
  <c r="C51" i="9"/>
  <c r="C126" i="9" s="1"/>
  <c r="M369" i="4"/>
  <c r="M370" i="4" s="1"/>
  <c r="Q367" i="4"/>
  <c r="E128" i="9"/>
  <c r="D66" i="24"/>
  <c r="D62" i="30"/>
  <c r="D72" i="30" s="1"/>
  <c r="C36" i="27"/>
  <c r="D28" i="27" s="1"/>
  <c r="D36" i="27" s="1"/>
  <c r="E28" i="27" s="1"/>
  <c r="E36" i="27" s="1"/>
  <c r="F28" i="27" s="1"/>
  <c r="F36" i="27" s="1"/>
  <c r="G28" i="27" s="1"/>
  <c r="G36" i="27" s="1"/>
  <c r="H28" i="27" s="1"/>
  <c r="H36" i="27" s="1"/>
  <c r="I28" i="27" s="1"/>
  <c r="I36" i="27" s="1"/>
  <c r="C42" i="57"/>
  <c r="D34" i="57" s="1"/>
  <c r="D42" i="57" s="1"/>
  <c r="E34" i="57" s="1"/>
  <c r="E42" i="57" s="1"/>
  <c r="F34" i="57" s="1"/>
  <c r="F42" i="57" s="1"/>
  <c r="G34" i="57" s="1"/>
  <c r="G42" i="57" s="1"/>
  <c r="H34" i="57" s="1"/>
  <c r="H42" i="57" s="1"/>
  <c r="I34" i="57" s="1"/>
  <c r="I42" i="57" s="1"/>
  <c r="C41" i="11"/>
  <c r="D33" i="11" s="1"/>
  <c r="D41" i="11" s="1"/>
  <c r="E33" i="11" s="1"/>
  <c r="E41" i="11" s="1"/>
  <c r="F33" i="11" s="1"/>
  <c r="F41" i="11" s="1"/>
  <c r="G33" i="11" s="1"/>
  <c r="G41" i="11" s="1"/>
  <c r="H33" i="11" s="1"/>
  <c r="H41" i="11" s="1"/>
  <c r="I33" i="11" s="1"/>
  <c r="I41" i="11" s="1"/>
  <c r="D44" i="29"/>
  <c r="C32" i="10"/>
  <c r="D24" i="10" s="1"/>
  <c r="C31" i="33"/>
  <c r="D23" i="33" s="1"/>
  <c r="D31" i="33" s="1"/>
  <c r="E23" i="33" s="1"/>
  <c r="E31" i="33" s="1"/>
  <c r="F23" i="33" s="1"/>
  <c r="F31" i="33" s="1"/>
  <c r="G23" i="33" s="1"/>
  <c r="G31" i="33" s="1"/>
  <c r="H23" i="33" s="1"/>
  <c r="H31" i="33" s="1"/>
  <c r="I23" i="33" s="1"/>
  <c r="I31" i="33" s="1"/>
  <c r="C27" i="43"/>
  <c r="D19" i="43" s="1"/>
  <c r="D27" i="43" s="1"/>
  <c r="E19" i="43" s="1"/>
  <c r="E27" i="43" s="1"/>
  <c r="F19" i="43" s="1"/>
  <c r="F27" i="43" s="1"/>
  <c r="G19" i="43" s="1"/>
  <c r="G27" i="43" s="1"/>
  <c r="H19" i="43" s="1"/>
  <c r="H27" i="43" s="1"/>
  <c r="I19" i="43" s="1"/>
  <c r="I27" i="43" s="1"/>
  <c r="C185" i="21"/>
  <c r="D177" i="21" s="1"/>
  <c r="D185" i="21" s="1"/>
  <c r="E177" i="21" s="1"/>
  <c r="E185" i="21" s="1"/>
  <c r="F177" i="21" s="1"/>
  <c r="F185" i="21" s="1"/>
  <c r="G177" i="21" s="1"/>
  <c r="G185" i="21" s="1"/>
  <c r="H177" i="21" s="1"/>
  <c r="H185" i="21" s="1"/>
  <c r="I177" i="21" s="1"/>
  <c r="I185" i="21" s="1"/>
  <c r="C59" i="21"/>
  <c r="D51" i="21" s="1"/>
  <c r="D59" i="21" s="1"/>
  <c r="E51" i="21" s="1"/>
  <c r="E59" i="21" s="1"/>
  <c r="F51" i="21" s="1"/>
  <c r="F59" i="21" s="1"/>
  <c r="G51" i="21" s="1"/>
  <c r="G59" i="21" s="1"/>
  <c r="H51" i="21" s="1"/>
  <c r="H59" i="21" s="1"/>
  <c r="I51" i="21" s="1"/>
  <c r="I59" i="21" s="1"/>
  <c r="C49" i="18"/>
  <c r="D41" i="18" s="1"/>
  <c r="D49" i="18" s="1"/>
  <c r="E41" i="18" s="1"/>
  <c r="E49" i="18" s="1"/>
  <c r="F41" i="18" s="1"/>
  <c r="F49" i="18" s="1"/>
  <c r="G41" i="18" s="1"/>
  <c r="G49" i="18" s="1"/>
  <c r="H41" i="18" s="1"/>
  <c r="H49" i="18" s="1"/>
  <c r="I41" i="18" s="1"/>
  <c r="I49" i="18" s="1"/>
  <c r="C33" i="38"/>
  <c r="D25" i="38" s="1"/>
  <c r="D33" i="38" s="1"/>
  <c r="E25" i="38" s="1"/>
  <c r="E33" i="38" s="1"/>
  <c r="F25" i="38" s="1"/>
  <c r="F33" i="38" s="1"/>
  <c r="G25" i="38" s="1"/>
  <c r="G33" i="38" s="1"/>
  <c r="H25" i="38" s="1"/>
  <c r="H33" i="38" s="1"/>
  <c r="I25" i="38" s="1"/>
  <c r="I33" i="38" s="1"/>
  <c r="C70" i="14"/>
  <c r="D62" i="14" s="1"/>
  <c r="D70" i="14" s="1"/>
  <c r="E62" i="14" s="1"/>
  <c r="E70" i="14" s="1"/>
  <c r="F62" i="14" s="1"/>
  <c r="F70" i="14" s="1"/>
  <c r="G62" i="14" s="1"/>
  <c r="G70" i="14" s="1"/>
  <c r="H62" i="14" s="1"/>
  <c r="H70" i="14" s="1"/>
  <c r="I62" i="14" s="1"/>
  <c r="I70" i="14" s="1"/>
  <c r="C30" i="56"/>
  <c r="D22" i="56" s="1"/>
  <c r="D30" i="56" s="1"/>
  <c r="E22" i="56" s="1"/>
  <c r="E30" i="56" s="1"/>
  <c r="F22" i="56" s="1"/>
  <c r="F30" i="56" s="1"/>
  <c r="G22" i="56" s="1"/>
  <c r="G30" i="56" s="1"/>
  <c r="H22" i="56" s="1"/>
  <c r="H30" i="56" s="1"/>
  <c r="I22" i="56" s="1"/>
  <c r="I30" i="56" s="1"/>
  <c r="C29" i="37"/>
  <c r="D21" i="37" s="1"/>
  <c r="D29" i="37" s="1"/>
  <c r="E21" i="37" s="1"/>
  <c r="E29" i="37" s="1"/>
  <c r="F21" i="37" s="1"/>
  <c r="F29" i="37" s="1"/>
  <c r="C29" i="7"/>
  <c r="D23" i="7" s="1"/>
  <c r="D29" i="7" s="1"/>
  <c r="E23" i="7" s="1"/>
  <c r="E29" i="7" s="1"/>
  <c r="F23" i="7" s="1"/>
  <c r="F29" i="7" s="1"/>
  <c r="G23" i="7" s="1"/>
  <c r="G29" i="7" s="1"/>
  <c r="H23" i="7" s="1"/>
  <c r="H29" i="7" s="1"/>
  <c r="I23" i="7" s="1"/>
  <c r="I29" i="7" s="1"/>
  <c r="C70" i="24"/>
  <c r="D62" i="24" s="1"/>
  <c r="C31" i="23"/>
  <c r="D23" i="23" s="1"/>
  <c r="D31" i="23" s="1"/>
  <c r="E23" i="23" s="1"/>
  <c r="E31" i="23" s="1"/>
  <c r="F23" i="23" s="1"/>
  <c r="F31" i="23" s="1"/>
  <c r="G23" i="23" s="1"/>
  <c r="G31" i="23" s="1"/>
  <c r="H23" i="23" s="1"/>
  <c r="H31" i="23" s="1"/>
  <c r="I23" i="23" s="1"/>
  <c r="I31" i="23" s="1"/>
  <c r="C37" i="14"/>
  <c r="D29" i="14" s="1"/>
  <c r="D37" i="14" s="1"/>
  <c r="E29" i="14" s="1"/>
  <c r="E37" i="14" s="1"/>
  <c r="F29" i="14" s="1"/>
  <c r="F37" i="14" s="1"/>
  <c r="G29" i="14" s="1"/>
  <c r="G37" i="14" s="1"/>
  <c r="C24" i="58"/>
  <c r="C30" i="58" s="1"/>
  <c r="D22" i="58" s="1"/>
  <c r="J371" i="4"/>
  <c r="C48" i="29"/>
  <c r="D40" i="29" s="1"/>
  <c r="H469" i="4"/>
  <c r="D24" i="28"/>
  <c r="D81" i="16"/>
  <c r="D21" i="12"/>
  <c r="D48" i="12" s="1"/>
  <c r="D28" i="10"/>
  <c r="C32" i="13"/>
  <c r="D24" i="13" s="1"/>
  <c r="D32" i="13" s="1"/>
  <c r="E24" i="13" s="1"/>
  <c r="E32" i="13" s="1"/>
  <c r="F24" i="13" s="1"/>
  <c r="F32" i="13" s="1"/>
  <c r="G24" i="13" s="1"/>
  <c r="G32" i="13" s="1"/>
  <c r="H24" i="13" s="1"/>
  <c r="H32" i="13" s="1"/>
  <c r="I24" i="13" s="1"/>
  <c r="I32" i="13" s="1"/>
  <c r="C105" i="14"/>
  <c r="D97" i="14" s="1"/>
  <c r="D105" i="14" s="1"/>
  <c r="E97" i="14" s="1"/>
  <c r="E105" i="14" s="1"/>
  <c r="F97" i="14" s="1"/>
  <c r="F105" i="14" s="1"/>
  <c r="G97" i="14" s="1"/>
  <c r="G105" i="14" s="1"/>
  <c r="H97" i="14" s="1"/>
  <c r="H105" i="14" s="1"/>
  <c r="I97" i="14" s="1"/>
  <c r="I105" i="14" s="1"/>
  <c r="C215" i="21"/>
  <c r="D207" i="21" s="1"/>
  <c r="D215" i="21" s="1"/>
  <c r="E207" i="21" s="1"/>
  <c r="E215" i="21" s="1"/>
  <c r="F207" i="21" s="1"/>
  <c r="F215" i="21" s="1"/>
  <c r="G207" i="21" s="1"/>
  <c r="G215" i="21" s="1"/>
  <c r="H207" i="21" s="1"/>
  <c r="H215" i="21" s="1"/>
  <c r="I207" i="21" s="1"/>
  <c r="I215" i="21" s="1"/>
  <c r="C29" i="39"/>
  <c r="D21" i="39" s="1"/>
  <c r="D29" i="39" s="1"/>
  <c r="E21" i="39" s="1"/>
  <c r="E29" i="39" s="1"/>
  <c r="F21" i="39" s="1"/>
  <c r="F29" i="39" s="1"/>
  <c r="G21" i="39" s="1"/>
  <c r="G29" i="39" s="1"/>
  <c r="H21" i="39" s="1"/>
  <c r="H29" i="39" s="1"/>
  <c r="I21" i="39" s="1"/>
  <c r="I29" i="39" s="1"/>
  <c r="C41" i="26"/>
  <c r="D33" i="26" s="1"/>
  <c r="C42" i="6"/>
  <c r="C31" i="15"/>
  <c r="D23" i="15" s="1"/>
  <c r="D31" i="15" s="1"/>
  <c r="E23" i="15" s="1"/>
  <c r="E31" i="15" s="1"/>
  <c r="F23" i="15" s="1"/>
  <c r="F31" i="15" s="1"/>
  <c r="G23" i="15" s="1"/>
  <c r="C81" i="16"/>
  <c r="C124" i="21"/>
  <c r="D116" i="21" s="1"/>
  <c r="D124" i="21" s="1"/>
  <c r="E116" i="21" s="1"/>
  <c r="E124" i="21" s="1"/>
  <c r="F116" i="21" s="1"/>
  <c r="F124" i="21" s="1"/>
  <c r="G116" i="21" s="1"/>
  <c r="G124" i="21" s="1"/>
  <c r="H116" i="21" s="1"/>
  <c r="H124" i="21" s="1"/>
  <c r="I116" i="21" s="1"/>
  <c r="I124" i="21" s="1"/>
  <c r="C94" i="21"/>
  <c r="D86" i="21" s="1"/>
  <c r="D94" i="21" s="1"/>
  <c r="E86" i="21" s="1"/>
  <c r="E94" i="21" s="1"/>
  <c r="F86" i="21" s="1"/>
  <c r="F94" i="21" s="1"/>
  <c r="G86" i="21" s="1"/>
  <c r="G94" i="21" s="1"/>
  <c r="H86" i="21" s="1"/>
  <c r="H94" i="21" s="1"/>
  <c r="I86" i="21" s="1"/>
  <c r="I94" i="21" s="1"/>
  <c r="C28" i="21"/>
  <c r="D20" i="21" s="1"/>
  <c r="D28" i="21" s="1"/>
  <c r="E20" i="21" s="1"/>
  <c r="E28" i="21" s="1"/>
  <c r="F20" i="21" s="1"/>
  <c r="F28" i="21" s="1"/>
  <c r="G20" i="21" s="1"/>
  <c r="G28" i="21" s="1"/>
  <c r="H20" i="21" s="1"/>
  <c r="H28" i="21" s="1"/>
  <c r="I20" i="21" s="1"/>
  <c r="I28" i="21" s="1"/>
  <c r="C24" i="28"/>
  <c r="C30" i="28" s="1"/>
  <c r="D22" i="28" s="1"/>
  <c r="C62" i="30"/>
  <c r="C72" i="30" s="1"/>
  <c r="D25" i="30"/>
  <c r="D70" i="30" s="1"/>
  <c r="E45" i="22" l="1"/>
  <c r="F37" i="22" s="1"/>
  <c r="F45" i="22" s="1"/>
  <c r="G37" i="22" s="1"/>
  <c r="G45" i="22" s="1"/>
  <c r="H37" i="22" s="1"/>
  <c r="G31" i="15"/>
  <c r="H23" i="15" s="1"/>
  <c r="H31" i="15" s="1"/>
  <c r="I23" i="15" s="1"/>
  <c r="I31" i="15" s="1"/>
  <c r="H29" i="14"/>
  <c r="H37" i="14" s="1"/>
  <c r="I29" i="14" s="1"/>
  <c r="I37" i="14" s="1"/>
  <c r="C54" i="12"/>
  <c r="D46" i="12" s="1"/>
  <c r="D54" i="12" s="1"/>
  <c r="E46" i="12" s="1"/>
  <c r="G21" i="37"/>
  <c r="G29" i="37" s="1"/>
  <c r="H21" i="37" s="1"/>
  <c r="H29" i="37" s="1"/>
  <c r="I21" i="37" s="1"/>
  <c r="I29" i="37" s="1"/>
  <c r="D48" i="29"/>
  <c r="E40" i="29" s="1"/>
  <c r="E48" i="29" s="1"/>
  <c r="F40" i="29" s="1"/>
  <c r="F48" i="29" s="1"/>
  <c r="G40" i="29" s="1"/>
  <c r="G48" i="29" s="1"/>
  <c r="H40" i="29" s="1"/>
  <c r="H48" i="29" s="1"/>
  <c r="I40" i="29" s="1"/>
  <c r="I48" i="29" s="1"/>
  <c r="P372" i="4"/>
  <c r="Q369" i="4"/>
  <c r="D128" i="9"/>
  <c r="D32" i="10"/>
  <c r="E24" i="10" s="1"/>
  <c r="E32" i="10" s="1"/>
  <c r="F24" i="10" s="1"/>
  <c r="F32" i="10" s="1"/>
  <c r="G24" i="10" s="1"/>
  <c r="G32" i="10" s="1"/>
  <c r="H24" i="10" s="1"/>
  <c r="H32" i="10" s="1"/>
  <c r="I24" i="10" s="1"/>
  <c r="I32" i="10" s="1"/>
  <c r="C76" i="30"/>
  <c r="D68" i="30" s="1"/>
  <c r="D76" i="30" s="1"/>
  <c r="E68" i="30" s="1"/>
  <c r="E76" i="30" s="1"/>
  <c r="F68" i="30" s="1"/>
  <c r="F76" i="30" s="1"/>
  <c r="G68" i="30" s="1"/>
  <c r="G76" i="30" s="1"/>
  <c r="H68" i="30" s="1"/>
  <c r="H76" i="30" s="1"/>
  <c r="I68" i="30" s="1"/>
  <c r="I76" i="30" s="1"/>
  <c r="C303" i="19"/>
  <c r="D295" i="19" s="1"/>
  <c r="D303" i="19" s="1"/>
  <c r="E295" i="19" s="1"/>
  <c r="E303" i="19" s="1"/>
  <c r="F295" i="19" s="1"/>
  <c r="F303" i="19" s="1"/>
  <c r="G295" i="19" s="1"/>
  <c r="G303" i="19" s="1"/>
  <c r="C123" i="17"/>
  <c r="D115" i="17" s="1"/>
  <c r="D123" i="17" s="1"/>
  <c r="E115" i="17" s="1"/>
  <c r="E123" i="17" s="1"/>
  <c r="F115" i="17" s="1"/>
  <c r="F123" i="17" s="1"/>
  <c r="G115" i="17" s="1"/>
  <c r="G123" i="17" s="1"/>
  <c r="H115" i="17" s="1"/>
  <c r="H123" i="17" s="1"/>
  <c r="I115" i="17" s="1"/>
  <c r="I123" i="17" s="1"/>
  <c r="C48" i="6"/>
  <c r="D40" i="6" s="1"/>
  <c r="C128" i="9"/>
  <c r="D30" i="28"/>
  <c r="E22" i="28" s="1"/>
  <c r="E30" i="28" s="1"/>
  <c r="F22" i="28" s="1"/>
  <c r="F30" i="28" s="1"/>
  <c r="G22" i="28" s="1"/>
  <c r="G30" i="28" s="1"/>
  <c r="H22" i="28" s="1"/>
  <c r="H30" i="28" s="1"/>
  <c r="I22" i="28" s="1"/>
  <c r="I30" i="28" s="1"/>
  <c r="D92" i="16"/>
  <c r="C92" i="16"/>
  <c r="H295" i="19" l="1"/>
  <c r="H303" i="19" s="1"/>
  <c r="I295" i="19" s="1"/>
  <c r="I303" i="19" s="1"/>
  <c r="G310" i="19"/>
  <c r="G377" i="4"/>
  <c r="G380" i="4"/>
  <c r="H380" i="4" s="1"/>
  <c r="I5" i="12" s="1"/>
  <c r="I10" i="12" s="1"/>
  <c r="I21" i="12" s="1"/>
  <c r="G378" i="4"/>
  <c r="E10" i="12"/>
  <c r="E21" i="12" s="1"/>
  <c r="E48" i="12" s="1"/>
  <c r="E54" i="12" s="1"/>
  <c r="F46" i="12" s="1"/>
  <c r="F10" i="12"/>
  <c r="F21" i="12" s="1"/>
  <c r="M372" i="4"/>
  <c r="M373" i="4" s="1"/>
  <c r="Q370" i="4"/>
  <c r="G379" i="4"/>
  <c r="G383" i="4"/>
  <c r="G382" i="4"/>
  <c r="G381" i="4"/>
  <c r="C96" i="16"/>
  <c r="D88" i="16" s="1"/>
  <c r="C132" i="9"/>
  <c r="D124" i="9" s="1"/>
  <c r="I48" i="12" l="1"/>
  <c r="E11" i="31"/>
  <c r="I906" i="5"/>
  <c r="I907" i="5" s="1"/>
  <c r="I962" i="5" s="1"/>
  <c r="H907" i="5"/>
  <c r="G10" i="12"/>
  <c r="G21" i="12" s="1"/>
  <c r="H10" i="12"/>
  <c r="H21" i="12" s="1"/>
  <c r="D11" i="31" s="1"/>
  <c r="F907" i="5"/>
  <c r="F962" i="5" s="1"/>
  <c r="F48" i="12"/>
  <c r="Q372" i="4"/>
  <c r="C978" i="5"/>
  <c r="H378" i="4"/>
  <c r="H383" i="4"/>
  <c r="H382" i="4"/>
  <c r="H381" i="4"/>
  <c r="I6" i="16" s="1"/>
  <c r="I8" i="16" s="1"/>
  <c r="I33" i="16" s="1"/>
  <c r="H10" i="26" l="1"/>
  <c r="H15" i="26" s="1"/>
  <c r="D16" i="31" s="1"/>
  <c r="I6" i="26"/>
  <c r="I10" i="26" s="1"/>
  <c r="I15" i="26" s="1"/>
  <c r="I974" i="5"/>
  <c r="E22" i="31"/>
  <c r="I90" i="16"/>
  <c r="E13" i="31"/>
  <c r="H13" i="6"/>
  <c r="D7" i="31" s="1"/>
  <c r="I6" i="6"/>
  <c r="I13" i="6" s="1"/>
  <c r="G48" i="12"/>
  <c r="G8" i="16"/>
  <c r="G33" i="16" s="1"/>
  <c r="G90" i="16" s="1"/>
  <c r="H8" i="16"/>
  <c r="H33" i="16" s="1"/>
  <c r="D13" i="31" s="1"/>
  <c r="H35" i="26"/>
  <c r="G11" i="24"/>
  <c r="G16" i="24" s="1"/>
  <c r="G64" i="24" s="1"/>
  <c r="H6" i="24"/>
  <c r="H11" i="24" s="1"/>
  <c r="H16" i="24" s="1"/>
  <c r="H64" i="24" s="1"/>
  <c r="D15" i="31" s="1"/>
  <c r="H48" i="12"/>
  <c r="G13" i="6"/>
  <c r="F13" i="6"/>
  <c r="F15" i="26"/>
  <c r="F35" i="26" s="1"/>
  <c r="F54" i="12"/>
  <c r="G46" i="12" s="1"/>
  <c r="G54" i="12" s="1"/>
  <c r="H46" i="12" s="1"/>
  <c r="F974" i="5"/>
  <c r="E64" i="24"/>
  <c r="F11" i="24"/>
  <c r="F16" i="24" s="1"/>
  <c r="F64" i="24" s="1"/>
  <c r="E8" i="16"/>
  <c r="E33" i="16" s="1"/>
  <c r="F8" i="16"/>
  <c r="F33" i="16" s="1"/>
  <c r="M375" i="4"/>
  <c r="N375" i="4" s="1"/>
  <c r="Q373" i="4"/>
  <c r="D970" i="5"/>
  <c r="E35" i="26"/>
  <c r="D13" i="6"/>
  <c r="D42" i="6" s="1"/>
  <c r="D48" i="6" s="1"/>
  <c r="E40" i="6" s="1"/>
  <c r="E13" i="6"/>
  <c r="D907" i="5"/>
  <c r="D962" i="5" s="1"/>
  <c r="D8" i="16"/>
  <c r="D64" i="24"/>
  <c r="D35" i="26"/>
  <c r="D41" i="26" s="1"/>
  <c r="E33" i="26" s="1"/>
  <c r="H377" i="4"/>
  <c r="G384" i="4"/>
  <c r="D24" i="58"/>
  <c r="D30" i="58" s="1"/>
  <c r="E22" i="58" s="1"/>
  <c r="H379" i="4"/>
  <c r="I7" i="9" s="1"/>
  <c r="I9" i="9" s="1"/>
  <c r="I51" i="9" s="1"/>
  <c r="H42" i="6" l="1"/>
  <c r="I126" i="9"/>
  <c r="E9" i="31"/>
  <c r="E42" i="31"/>
  <c r="E48" i="31"/>
  <c r="I42" i="6"/>
  <c r="E7" i="31"/>
  <c r="F7" i="31" s="1"/>
  <c r="H8" i="5"/>
  <c r="H119" i="5" s="1"/>
  <c r="D6" i="31" s="1"/>
  <c r="I6" i="5"/>
  <c r="I35" i="26"/>
  <c r="E16" i="31"/>
  <c r="F11" i="31"/>
  <c r="H9" i="9"/>
  <c r="H51" i="9" s="1"/>
  <c r="D9" i="31" s="1"/>
  <c r="H54" i="12"/>
  <c r="I46" i="12" s="1"/>
  <c r="I54" i="12" s="1"/>
  <c r="F15" i="31"/>
  <c r="G10" i="26"/>
  <c r="G15" i="26" s="1"/>
  <c r="H90" i="16"/>
  <c r="F9" i="9"/>
  <c r="F51" i="9" s="1"/>
  <c r="G9" i="9"/>
  <c r="G51" i="9" s="1"/>
  <c r="F42" i="6"/>
  <c r="G42" i="6"/>
  <c r="D33" i="16"/>
  <c r="D90" i="16" s="1"/>
  <c r="D96" i="16" s="1"/>
  <c r="E88" i="16" s="1"/>
  <c r="E30" i="58"/>
  <c r="F22" i="58" s="1"/>
  <c r="F30" i="58" s="1"/>
  <c r="G22" i="58" s="1"/>
  <c r="G30" i="58" s="1"/>
  <c r="H22" i="58" s="1"/>
  <c r="H30" i="58" s="1"/>
  <c r="I22" i="58" s="1"/>
  <c r="F90" i="16"/>
  <c r="E90" i="16"/>
  <c r="E8" i="5"/>
  <c r="E119" i="5" s="1"/>
  <c r="E972" i="5" s="1"/>
  <c r="F8" i="5"/>
  <c r="F119" i="5" s="1"/>
  <c r="D70" i="24"/>
  <c r="E62" i="24" s="1"/>
  <c r="E70" i="24" s="1"/>
  <c r="F62" i="24" s="1"/>
  <c r="F70" i="24" s="1"/>
  <c r="G62" i="24" s="1"/>
  <c r="G70" i="24" s="1"/>
  <c r="H62" i="24" s="1"/>
  <c r="H70" i="24" s="1"/>
  <c r="I62" i="24" s="1"/>
  <c r="D974" i="5"/>
  <c r="E41" i="26"/>
  <c r="F33" i="26" s="1"/>
  <c r="F41" i="26" s="1"/>
  <c r="G33" i="26" s="1"/>
  <c r="E42" i="6"/>
  <c r="E48" i="6" s="1"/>
  <c r="F40" i="6" s="1"/>
  <c r="E9" i="9"/>
  <c r="E51" i="9" s="1"/>
  <c r="E907" i="5"/>
  <c r="E962" i="5" s="1"/>
  <c r="D9" i="9"/>
  <c r="D51" i="9" s="1"/>
  <c r="D8" i="5"/>
  <c r="H384" i="4"/>
  <c r="H972" i="5" l="1"/>
  <c r="D47" i="31" s="1"/>
  <c r="I8" i="5"/>
  <c r="I119" i="5" s="1"/>
  <c r="I70" i="24"/>
  <c r="F13" i="31"/>
  <c r="H126" i="9"/>
  <c r="G35" i="26"/>
  <c r="G41" i="26" s="1"/>
  <c r="H33" i="26" s="1"/>
  <c r="H41" i="26" s="1"/>
  <c r="I33" i="26" s="1"/>
  <c r="I41" i="26" s="1"/>
  <c r="F16" i="31"/>
  <c r="F126" i="9"/>
  <c r="G8" i="5"/>
  <c r="G907" i="5"/>
  <c r="F48" i="6"/>
  <c r="G40" i="6" s="1"/>
  <c r="G48" i="6" s="1"/>
  <c r="H40" i="6" s="1"/>
  <c r="H48" i="6" s="1"/>
  <c r="I40" i="6" s="1"/>
  <c r="I48" i="6" s="1"/>
  <c r="G126" i="9"/>
  <c r="E96" i="16"/>
  <c r="F88" i="16" s="1"/>
  <c r="F96" i="16" s="1"/>
  <c r="G88" i="16" s="1"/>
  <c r="G96" i="16" s="1"/>
  <c r="H88" i="16" s="1"/>
  <c r="H96" i="16" s="1"/>
  <c r="I88" i="16" s="1"/>
  <c r="I96" i="16" s="1"/>
  <c r="F972" i="5"/>
  <c r="D119" i="5"/>
  <c r="D972" i="5" s="1"/>
  <c r="E974" i="5"/>
  <c r="E126" i="9"/>
  <c r="D126" i="9"/>
  <c r="I972" i="5" l="1"/>
  <c r="E6" i="31"/>
  <c r="F9" i="31"/>
  <c r="G119" i="5"/>
  <c r="G962" i="5"/>
  <c r="D978" i="5"/>
  <c r="E970" i="5" s="1"/>
  <c r="D132" i="9"/>
  <c r="E124" i="9" s="1"/>
  <c r="E132" i="9" s="1"/>
  <c r="F124" i="9" s="1"/>
  <c r="F132" i="9" s="1"/>
  <c r="G124" i="9" s="1"/>
  <c r="G132" i="9" s="1"/>
  <c r="H124" i="9" s="1"/>
  <c r="H132" i="9" s="1"/>
  <c r="I124" i="9" s="1"/>
  <c r="I132" i="9" s="1"/>
  <c r="F6" i="31" l="1"/>
  <c r="E47" i="31"/>
  <c r="G972" i="5"/>
  <c r="D19" i="31"/>
  <c r="G974" i="5"/>
  <c r="E978" i="5"/>
  <c r="F970" i="5" s="1"/>
  <c r="F47" i="31" l="1"/>
  <c r="F978" i="5"/>
  <c r="G970" i="5" s="1"/>
  <c r="G978" i="5" l="1"/>
  <c r="H970" i="5" s="1"/>
  <c r="D46" i="31" l="1"/>
  <c r="D40" i="31"/>
  <c r="H126" i="5"/>
  <c r="H127" i="5" s="1"/>
  <c r="H14" i="22"/>
  <c r="H16" i="22" s="1"/>
  <c r="H39" i="22" s="1"/>
  <c r="D41" i="31" s="1"/>
  <c r="H45" i="22" l="1"/>
  <c r="I37" i="22" s="1"/>
  <c r="I45" i="22" s="1"/>
  <c r="H526" i="5" l="1"/>
  <c r="H962" i="5" s="1"/>
  <c r="H974" i="5" l="1"/>
  <c r="H978" i="5" s="1"/>
  <c r="I970" i="5" s="1"/>
  <c r="D22" i="31"/>
  <c r="D35" i="31" s="1"/>
  <c r="D37" i="31" s="1"/>
  <c r="I978" i="5" l="1"/>
  <c r="E46" i="31"/>
  <c r="F46" i="31" s="1"/>
  <c r="E40" i="31"/>
  <c r="F40" i="31" s="1"/>
  <c r="D48" i="31"/>
  <c r="D50" i="31" s="1"/>
  <c r="D42" i="31"/>
  <c r="D43" i="31" s="1"/>
  <c r="E35" i="31"/>
  <c r="F22" i="31"/>
  <c r="F35" i="31" s="1"/>
  <c r="E50" i="31"/>
  <c r="F42" i="31" l="1"/>
  <c r="F48" i="31"/>
  <c r="F50" i="31" s="1"/>
  <c r="I9" i="58" l="1"/>
  <c r="E12" i="31" s="1"/>
  <c r="F12" i="31" s="1"/>
  <c r="F19" i="31" s="1"/>
  <c r="I24" i="58" l="1"/>
  <c r="E19" i="31"/>
  <c r="E37" i="31" s="1"/>
  <c r="I30" i="58" l="1"/>
  <c r="E41" i="31"/>
  <c r="F41" i="31" l="1"/>
  <c r="F43" i="31" s="1"/>
  <c r="E43" i="31"/>
</calcChain>
</file>

<file path=xl/comments1.xml><?xml version="1.0" encoding="utf-8"?>
<comments xmlns="http://schemas.openxmlformats.org/spreadsheetml/2006/main">
  <authors>
    <author>Becky Haynes</author>
  </authors>
  <commentList>
    <comment ref="M371" authorId="0" shapeId="0">
      <text>
        <r>
          <rPr>
            <sz val="9"/>
            <color indexed="81"/>
            <rFont val="Tahoma"/>
            <family val="2"/>
          </rPr>
          <t xml:space="preserve">Tax Ceiling Receivable is receivable due from deferrals and non payments but may not be collected for the tax year.
</t>
        </r>
        <r>
          <rPr>
            <b/>
            <sz val="9"/>
            <color indexed="81"/>
            <rFont val="Tahoma"/>
            <family val="2"/>
          </rPr>
          <t>HCAD</t>
        </r>
        <r>
          <rPr>
            <sz val="9"/>
            <color indexed="81"/>
            <rFont val="Tahoma"/>
            <family val="2"/>
          </rPr>
          <t xml:space="preserve"> does not include this amount in their calculations.</t>
        </r>
      </text>
    </comment>
  </commentList>
</comments>
</file>

<file path=xl/comments2.xml><?xml version="1.0" encoding="utf-8"?>
<comments xmlns="http://schemas.openxmlformats.org/spreadsheetml/2006/main">
  <authors>
    <author>Becky Haynes</author>
  </authors>
  <commentList>
    <comment ref="C860" authorId="0" shapeId="0">
      <text>
        <r>
          <rPr>
            <sz val="9"/>
            <color indexed="81"/>
            <rFont val="Tahoma"/>
            <family val="2"/>
          </rPr>
          <t>Moved $53940 from this line item to 100.641.4782.55 Budget for Hospital moved to Indigent Care in 2018-2019.  Increased to $69k</t>
        </r>
      </text>
    </comment>
    <comment ref="B906" authorId="0" shapeId="0">
      <text>
        <r>
          <rPr>
            <sz val="9"/>
            <color indexed="81"/>
            <rFont val="Tahoma"/>
            <family val="2"/>
          </rPr>
          <t>2019 Began paying Health Department (100.583.4760.45) from Medical Care Indigents</t>
        </r>
      </text>
    </comment>
  </commentList>
</comments>
</file>

<file path=xl/comments3.xml><?xml version="1.0" encoding="utf-8"?>
<comments xmlns="http://schemas.openxmlformats.org/spreadsheetml/2006/main">
  <authors>
    <author>Becky Haynes</author>
  </authors>
  <commentList>
    <comment ref="D31" authorId="0" shapeId="0">
      <text>
        <r>
          <rPr>
            <sz val="9"/>
            <color indexed="81"/>
            <rFont val="Tahoma"/>
            <family val="2"/>
          </rPr>
          <t>Disbusement different due to FY2022 Fund Balance Change.  FY2023 we tried to have a zero Fund Balance at year end</t>
        </r>
      </text>
    </comment>
  </commentList>
</comments>
</file>

<file path=xl/sharedStrings.xml><?xml version="1.0" encoding="utf-8"?>
<sst xmlns="http://schemas.openxmlformats.org/spreadsheetml/2006/main" count="5768" uniqueCount="2657">
  <si>
    <t>100.454.4105.20</t>
  </si>
  <si>
    <t>100.454.4107.20</t>
  </si>
  <si>
    <t>100.454.4108.20</t>
  </si>
  <si>
    <t>100.454.4111.20</t>
  </si>
  <si>
    <t>100.454.4160.20</t>
  </si>
  <si>
    <t>100.454.4165.20</t>
  </si>
  <si>
    <t>100.454.4156.20</t>
  </si>
  <si>
    <t>100.454.4155.20</t>
  </si>
  <si>
    <t>JUSTICE OF THE PEACE PCT. #1</t>
  </si>
  <si>
    <t>BUDGET RECAP</t>
  </si>
  <si>
    <t>BUDGET RECAP-REVENUES AND EXPENDITURES</t>
  </si>
  <si>
    <t>100.561.4584.45</t>
  </si>
  <si>
    <t>ELECTED OFFICIAL-SALARY INCREASES</t>
  </si>
  <si>
    <t>TOTAL TAX</t>
  </si>
  <si>
    <t xml:space="preserve">BUDGETED </t>
  </si>
  <si>
    <t>RATE</t>
  </si>
  <si>
    <t>COURTHOUSE CONSTRUCTION (FUND 730)</t>
  </si>
  <si>
    <t>730.695.4794.80</t>
  </si>
  <si>
    <t>730.695.4795.80</t>
  </si>
  <si>
    <t>DISTRICT ATTORNEY (FUND 890)</t>
  </si>
  <si>
    <t>890.810</t>
  </si>
  <si>
    <t>890.810.4105.20</t>
  </si>
  <si>
    <t>890.810.4201.20</t>
  </si>
  <si>
    <t>890.810.4311.20</t>
  </si>
  <si>
    <t>890.810.4429.20</t>
  </si>
  <si>
    <t>890.810.4499.20</t>
  </si>
  <si>
    <t>890.810.4572.20</t>
  </si>
  <si>
    <t>890.820</t>
  </si>
  <si>
    <t>890.820.4311.20</t>
  </si>
  <si>
    <t>890.820.4499.20</t>
  </si>
  <si>
    <t>890.820.4788.20</t>
  </si>
  <si>
    <t>890.820.4572.20</t>
  </si>
  <si>
    <t>890.820.4575.20</t>
  </si>
  <si>
    <t>100.435.4429.15</t>
  </si>
  <si>
    <t>100.435.4481.15</t>
  </si>
  <si>
    <t>100.435.4572.15</t>
  </si>
  <si>
    <t>100.451</t>
  </si>
  <si>
    <t>100.451.4101.15</t>
  </si>
  <si>
    <t>490.930</t>
  </si>
  <si>
    <t>490.930.4551.55</t>
  </si>
  <si>
    <t>490.930.4552.55</t>
  </si>
  <si>
    <t>490.930.4553.55</t>
  </si>
  <si>
    <t>JUVENILE - TITLE IV-E (FUND 480)</t>
  </si>
  <si>
    <t>480.694.4146.45</t>
  </si>
  <si>
    <t>480.694.4155.45</t>
  </si>
  <si>
    <t>480.694.4201.45</t>
  </si>
  <si>
    <t>480.694.4203.45</t>
  </si>
  <si>
    <t>480.694.4205.45</t>
  </si>
  <si>
    <t>480.694.4311.45</t>
  </si>
  <si>
    <t>480.694.4421.45</t>
  </si>
  <si>
    <t>480.694.4404.45</t>
  </si>
  <si>
    <t>480.694.4429.45</t>
  </si>
  <si>
    <t>480.694.4572.45</t>
  </si>
  <si>
    <t>100.403.4444.10</t>
  </si>
  <si>
    <t>100.409.4399.00</t>
  </si>
  <si>
    <t>100.511.4355.13</t>
  </si>
  <si>
    <t>140.340</t>
  </si>
  <si>
    <t>490.702</t>
  </si>
  <si>
    <t>551.521.4117.21</t>
  </si>
  <si>
    <t>551.521.4201.21</t>
  </si>
  <si>
    <t>551.521.4203.21</t>
  </si>
  <si>
    <t>610.695.4696.70</t>
  </si>
  <si>
    <t>610.695.4697.70</t>
  </si>
  <si>
    <t>610.695.4698.70</t>
  </si>
  <si>
    <t>610.695.4699.70</t>
  </si>
  <si>
    <t>610.695.4667.30</t>
  </si>
  <si>
    <t>610.695.4668.30</t>
  </si>
  <si>
    <t>ROAD &amp; BRIDGE FUND</t>
  </si>
  <si>
    <t>JURY FUND</t>
  </si>
  <si>
    <t>VIT ESCROW FUND</t>
  </si>
  <si>
    <t>LAW LIBRARY FUND</t>
  </si>
  <si>
    <t>JUVENILE SERVICES FUND</t>
  </si>
  <si>
    <t>JUVENILE GRANT FUND</t>
  </si>
  <si>
    <t>JUVENILE OPERATING-MISC</t>
  </si>
  <si>
    <t>COUNTY GRANT FUND</t>
  </si>
  <si>
    <t>SECURITY FUND</t>
  </si>
  <si>
    <t>DISTRICT ATTY SPECIAL FUND</t>
  </si>
  <si>
    <t>DEBT SERVICE FUND</t>
  </si>
  <si>
    <t>INTEREST &amp; SINKING FUND</t>
  </si>
  <si>
    <t>CAPITAL PROJECTS FUND</t>
  </si>
  <si>
    <t>COUNTY GRANT (FUND 490)</t>
  </si>
  <si>
    <t>490.720</t>
  </si>
  <si>
    <t>512.403.4439.10</t>
  </si>
  <si>
    <t>512.403.4311.10</t>
  </si>
  <si>
    <t>515.403.4439.10</t>
  </si>
  <si>
    <t>100.360.3914.00</t>
  </si>
  <si>
    <t>100.511.4457.35</t>
  </si>
  <si>
    <t>100.564.4421.45</t>
  </si>
  <si>
    <t>490.330.3749.00</t>
  </si>
  <si>
    <t>490.702.4582.70</t>
  </si>
  <si>
    <t>551.521.4499.45</t>
  </si>
  <si>
    <t>NORIT AMERICAS TEXAS CAPITAL FUND GRANT</t>
  </si>
  <si>
    <t>OTHER</t>
  </si>
  <si>
    <t>BASE
SALARY</t>
  </si>
  <si>
    <t>TRAVEL
ALLOWANCE</t>
  </si>
  <si>
    <t>100.631.4355.55</t>
  </si>
  <si>
    <t>100.631.4457.55</t>
  </si>
  <si>
    <t>JUSTICE OF THE PEACE, PRECINCT 4-1</t>
  </si>
  <si>
    <t>NANCY GEORGE</t>
  </si>
  <si>
    <t>COUNTY TREASURER</t>
  </si>
  <si>
    <t>TAX COLLECTOR</t>
  </si>
  <si>
    <t>CONSTABLE, PRECINCT 1</t>
  </si>
  <si>
    <t>CONSTABLE, PRECINCT 2</t>
  </si>
  <si>
    <t>BRANT MOORE</t>
  </si>
  <si>
    <t>CONSTABLE, PRECINCT 3</t>
  </si>
  <si>
    <t>PHILLIP MAULDIN</t>
  </si>
  <si>
    <t>CONSTABLE, PRECINCT 4</t>
  </si>
  <si>
    <t>COUNTY SHERIFF</t>
  </si>
  <si>
    <t>TABLE OF CONTENTS</t>
  </si>
  <si>
    <t>ii</t>
  </si>
  <si>
    <t>iii</t>
  </si>
  <si>
    <t>SCHEDULE OF INDEBTEDNESS</t>
  </si>
  <si>
    <t>GENERAL FUND</t>
  </si>
  <si>
    <t>ESTIMATED RECEIPTS</t>
  </si>
  <si>
    <t>SUMMARY OF BUDGETED DISBURSEMENTS</t>
  </si>
  <si>
    <t>COUNTY COMMISSIONERS</t>
  </si>
  <si>
    <t>VETERAN'S AFFAIRS</t>
  </si>
  <si>
    <t>ELECTIONS ADMINISTRATOR</t>
  </si>
  <si>
    <t>NON-DEPARTMENTAL</t>
  </si>
  <si>
    <t>PRE-TRIAL DIVERSION</t>
  </si>
  <si>
    <t>JUSTICE OF THE PEACE, PCT. 1</t>
  </si>
  <si>
    <t>JUSTICE OF THE PEACE, PCT. 2</t>
  </si>
  <si>
    <t>JUSTICE OF THE PEACE, PCT. 3</t>
  </si>
  <si>
    <t>LEGAL EXPENSE</t>
  </si>
  <si>
    <t>COUNTY AUDITOR</t>
  </si>
  <si>
    <t>HUMAN RESOURCES</t>
  </si>
  <si>
    <t xml:space="preserve">TAX COLLECTOR </t>
  </si>
  <si>
    <t>PURCHASING</t>
  </si>
  <si>
    <t xml:space="preserve">     FY09 RECOVERY JAG</t>
  </si>
  <si>
    <t>490.712.4572.45</t>
  </si>
  <si>
    <t>JUVENILE STATE AID - GRANT "A"</t>
  </si>
  <si>
    <t xml:space="preserve">     OPERATING EXPENSE</t>
  </si>
  <si>
    <t xml:space="preserve">JUVENILE STATE AID - GRANT "F" </t>
  </si>
  <si>
    <t>COMMUNITY CORRECTIONS ASST. - "Y"</t>
  </si>
  <si>
    <t>STATE SALARY SUPPLEMENT</t>
  </si>
  <si>
    <t>SCHOOL LUNCH PROGRAM</t>
  </si>
  <si>
    <t xml:space="preserve">     EDWARD BYRNE MEMORIAL JAG</t>
  </si>
  <si>
    <t>TOTAL RECEIPTS</t>
  </si>
  <si>
    <t xml:space="preserve">DISBURSEMENTS (EXPENDITURES) </t>
  </si>
  <si>
    <t>COUNTY JUDGE (401)</t>
  </si>
  <si>
    <t xml:space="preserve">     LONGEVITY PAY</t>
  </si>
  <si>
    <t xml:space="preserve">     SOCIAL SECURITY</t>
  </si>
  <si>
    <t xml:space="preserve">     RETIREMENT</t>
  </si>
  <si>
    <t xml:space="preserve">     TELEPHONE</t>
  </si>
  <si>
    <t xml:space="preserve">     EQUIPMENT/MAINTENANCE</t>
  </si>
  <si>
    <t>COUNTY COMMISSIONERS (402)</t>
  </si>
  <si>
    <t>COUNTY CLERK (403)</t>
  </si>
  <si>
    <t>VETERAN'S SERVICES (405)</t>
  </si>
  <si>
    <t>ELECTIONS (407)</t>
  </si>
  <si>
    <t>NON-DEPARTMENTAL (409)</t>
  </si>
  <si>
    <t>100.465.4429.15</t>
  </si>
  <si>
    <t>100.465.4481.15</t>
  </si>
  <si>
    <t>100.465.4572.15</t>
  </si>
  <si>
    <t>100.471</t>
  </si>
  <si>
    <t>100.471.4405.20</t>
  </si>
  <si>
    <t>100.465.4155.15</t>
  </si>
  <si>
    <t>100.465.4271.15</t>
  </si>
  <si>
    <t>100.465.4201.15</t>
  </si>
  <si>
    <t>100.465.4203.15</t>
  </si>
  <si>
    <t>100.461.4106.15</t>
  </si>
  <si>
    <t>100.495.4117.30</t>
  </si>
  <si>
    <t>TRANSFERS  IN/(OUT)</t>
  </si>
  <si>
    <t xml:space="preserve">     ELEVATOR UPGRADE</t>
  </si>
  <si>
    <t>ESTIMATED TRANSFERS IN/(OUT)</t>
  </si>
  <si>
    <t>CHARGES FOR SERVICE</t>
  </si>
  <si>
    <t>DA HOT CHECK  FEES</t>
  </si>
  <si>
    <t xml:space="preserve">DA FORFEITURE </t>
  </si>
  <si>
    <t>DA STATE SALARY SUPPLEMENT</t>
  </si>
  <si>
    <t>RECEIPTS (REVENUES)</t>
  </si>
  <si>
    <t>FUND</t>
  </si>
  <si>
    <t>DIFFERENCE</t>
  </si>
  <si>
    <t>100.403.4438.10</t>
  </si>
  <si>
    <t>100.436.4104.20</t>
  </si>
  <si>
    <t>100.461.4272.15</t>
  </si>
  <si>
    <t>100.462.4272.15</t>
  </si>
  <si>
    <t>100.463.4421.15</t>
  </si>
  <si>
    <t>100.463.4272.15</t>
  </si>
  <si>
    <t>100.465.4272.15</t>
  </si>
  <si>
    <t>100.561.4574.45</t>
  </si>
  <si>
    <t>100.641.4782.55</t>
  </si>
  <si>
    <t>100.463.4499.15</t>
  </si>
  <si>
    <t>100.471.4411.20</t>
  </si>
  <si>
    <t>300.695.4117.10</t>
  </si>
  <si>
    <t>300.695.4201.10</t>
  </si>
  <si>
    <t>300.695.4203.10</t>
  </si>
  <si>
    <t>460.330.3389.00</t>
  </si>
  <si>
    <t>460.576</t>
  </si>
  <si>
    <t>460.692</t>
  </si>
  <si>
    <t>460.692.4145.45</t>
  </si>
  <si>
    <t>460.692.4155.45</t>
  </si>
  <si>
    <t>460.692.4201.45</t>
  </si>
  <si>
    <t>460.692.4203.45</t>
  </si>
  <si>
    <t>460.692.4205.45</t>
  </si>
  <si>
    <t>460.692.4311.45</t>
  </si>
  <si>
    <t>460.692.4334.45</t>
  </si>
  <si>
    <t>460.692.4572.45</t>
  </si>
  <si>
    <t>470.365.3723.00</t>
  </si>
  <si>
    <t>490.330.3701.00</t>
  </si>
  <si>
    <t xml:space="preserve">     OOG-CRIMINAL HISTORY PROJECT-CJIS GRANT</t>
  </si>
  <si>
    <t>490.330.3739.00</t>
  </si>
  <si>
    <t xml:space="preserve">     2009 SHSP LEAP GRANT</t>
  </si>
  <si>
    <t>490.567</t>
  </si>
  <si>
    <t>490.701.4395.55</t>
  </si>
  <si>
    <t>490.701.4425.55</t>
  </si>
  <si>
    <t xml:space="preserve">     2010 SHSP (WEST HARRISON, HCSO &amp; VOTERS)</t>
  </si>
  <si>
    <t>490.725</t>
  </si>
  <si>
    <t>490.725.4154.10</t>
  </si>
  <si>
    <t>490.725.4201.10</t>
  </si>
  <si>
    <t>490.725.4203.10</t>
  </si>
  <si>
    <t>550.520.4281.45</t>
  </si>
  <si>
    <t>890.810.4166.20</t>
  </si>
  <si>
    <t>100.501.4205.30</t>
  </si>
  <si>
    <t>100.501.4311.30</t>
  </si>
  <si>
    <t>100.501.4321.30</t>
  </si>
  <si>
    <t>100.499.4311.30</t>
  </si>
  <si>
    <t>100.499.4316.30</t>
  </si>
  <si>
    <t>100.499.4321.30</t>
  </si>
  <si>
    <t>100.499.4429.30</t>
  </si>
  <si>
    <t>100.499.4468.30</t>
  </si>
  <si>
    <t>100.499.4481.30</t>
  </si>
  <si>
    <t>100.499.4572.30</t>
  </si>
  <si>
    <t>100.501</t>
  </si>
  <si>
    <t>100.501.4102.30</t>
  </si>
  <si>
    <t>100.501.4105.30</t>
  </si>
  <si>
    <t>100.501.4155.30</t>
  </si>
  <si>
    <t>100.501.4201.30</t>
  </si>
  <si>
    <t>100.501.4203.30</t>
  </si>
  <si>
    <t>WILLIAM HATFIELD</t>
  </si>
  <si>
    <t>BRAD MORIN</t>
  </si>
  <si>
    <t>2013 Secured Equipment Note #009</t>
  </si>
  <si>
    <t>2013 SECURED EQUIPMENT #009</t>
  </si>
  <si>
    <t>Original Issue Amount</t>
  </si>
  <si>
    <t>100.461.4111.15</t>
  </si>
  <si>
    <t>100.461.4155.15</t>
  </si>
  <si>
    <t>100.461.4201.15</t>
  </si>
  <si>
    <t>100.461.4203.15</t>
  </si>
  <si>
    <t>100.461.4205.15</t>
  </si>
  <si>
    <t>100.461.4271.15</t>
  </si>
  <si>
    <t>100.461.4311.15</t>
  </si>
  <si>
    <t>100.461.4321.15</t>
  </si>
  <si>
    <t>100.461.4421.15</t>
  </si>
  <si>
    <t>100.461.4429.15</t>
  </si>
  <si>
    <t>100.461.4455.15</t>
  </si>
  <si>
    <t>514.451.4439.10</t>
  </si>
  <si>
    <t>100.461.4481.15</t>
  </si>
  <si>
    <t>100.461.4572.15</t>
  </si>
  <si>
    <t>100.462.4101.15</t>
  </si>
  <si>
    <t>100.462.4111.15</t>
  </si>
  <si>
    <t>100.462.4155.15</t>
  </si>
  <si>
    <t>100.462.4201.15</t>
  </si>
  <si>
    <t>JUSTICE OF THE PEACE #2 (462)</t>
  </si>
  <si>
    <t>100.462.4203.15</t>
  </si>
  <si>
    <t>100.462.4205.15</t>
  </si>
  <si>
    <t>100.462.4271.15</t>
  </si>
  <si>
    <t>100.462.4311.15</t>
  </si>
  <si>
    <t>100.462.4321.15</t>
  </si>
  <si>
    <t>100.462.4481.15</t>
  </si>
  <si>
    <t>100.462.4572.15</t>
  </si>
  <si>
    <t>100.463</t>
  </si>
  <si>
    <t>100.463.4101.15</t>
  </si>
  <si>
    <t>100.463.4111.15</t>
  </si>
  <si>
    <t>100.463.4155.15</t>
  </si>
  <si>
    <t>100.463.4201.15</t>
  </si>
  <si>
    <t>100.463.4203.15</t>
  </si>
  <si>
    <t>100.463.4205.15</t>
  </si>
  <si>
    <t>100.463.4271.15</t>
  </si>
  <si>
    <t>100.463.4311.15</t>
  </si>
  <si>
    <t>100.463.4321.15</t>
  </si>
  <si>
    <t>100.463.4429.15</t>
  </si>
  <si>
    <t>100.462.4429.15</t>
  </si>
  <si>
    <t>100.463.4481.15</t>
  </si>
  <si>
    <t>100.463.4572.15</t>
  </si>
  <si>
    <t>TOTAL TAXABLE VALUE</t>
  </si>
  <si>
    <t>LESS: TAXABLE VALUE OF 65+ CEILING</t>
  </si>
  <si>
    <t>610.695.4685.90</t>
  </si>
  <si>
    <t>610.695.4686.95</t>
  </si>
  <si>
    <t>480.694.4427.45</t>
  </si>
  <si>
    <t>500.403.4439.10</t>
  </si>
  <si>
    <t>CO CLK RECORDS MGM (FUND 500)</t>
  </si>
  <si>
    <t>COUNTY RECORDS MGM (FUND 510)</t>
  </si>
  <si>
    <t>510.403.4439.10</t>
  </si>
  <si>
    <t>DIST CLK RECORDS MGM. (FUND 513)</t>
  </si>
  <si>
    <t>513.451.4439.10</t>
  </si>
  <si>
    <t>DIST CLK RECORDS MGM (FUND 513)</t>
  </si>
  <si>
    <t>SECURITY FUND (FUND 550)</t>
  </si>
  <si>
    <t>550.520.4135.45</t>
  </si>
  <si>
    <t>550.520.4138.45</t>
  </si>
  <si>
    <t>550.520.4155.45</t>
  </si>
  <si>
    <t>550.520.4201.45</t>
  </si>
  <si>
    <t>550.520.4203.45</t>
  </si>
  <si>
    <t>550.520.4205.45</t>
  </si>
  <si>
    <t>890.830</t>
  </si>
  <si>
    <t>890.830.4109.20</t>
  </si>
  <si>
    <t xml:space="preserve">GENERAL (FUND 100) </t>
  </si>
  <si>
    <t>100.310</t>
  </si>
  <si>
    <t>100.320</t>
  </si>
  <si>
    <t>100.330</t>
  </si>
  <si>
    <t>100.340</t>
  </si>
  <si>
    <t>100.461</t>
  </si>
  <si>
    <t>100.461.4101.15</t>
  </si>
  <si>
    <t>COURT-INITIATED GUARDIANSHIP (FUND 560)</t>
  </si>
  <si>
    <t>560.340.3410.00</t>
  </si>
  <si>
    <t>560.360.3601.00</t>
  </si>
  <si>
    <t>560.695.4415.10</t>
  </si>
  <si>
    <t>610.695.4688.95</t>
  </si>
  <si>
    <t xml:space="preserve">     2011 CAPITAL LEASE-SO/RB/JUV #004-INTEREST</t>
  </si>
  <si>
    <t xml:space="preserve">     2011 CAPITAL LEASE- SO/RB/JUV #004 PRINCIPAL</t>
  </si>
  <si>
    <t>610.695.4687.90</t>
  </si>
  <si>
    <t>890.830.4201.20</t>
  </si>
  <si>
    <t>890.830.4203.20</t>
  </si>
  <si>
    <t>890.830.4205.20</t>
  </si>
  <si>
    <t>FINE COLLECTION (566)</t>
  </si>
  <si>
    <t xml:space="preserve">     2011 HOMELAND SECURITY-LETPA (SO RADIOS)</t>
  </si>
  <si>
    <t>RECEIPTS (REVENUE)</t>
  </si>
  <si>
    <t>AD VALOREM TAXES</t>
  </si>
  <si>
    <t>CHARGES FOR SERVICES</t>
  </si>
  <si>
    <t>MAIN JAIL/JAIL ANNEX</t>
  </si>
  <si>
    <t>COUNTY CLERK RECORDS ARCHIVES (FUND 511)</t>
  </si>
  <si>
    <t>COUNTY CLERK RECORDS MGM. (FUND 500)</t>
  </si>
  <si>
    <t>COUNTY CLERK VITAL ARCHIVES (FUND 512)</t>
  </si>
  <si>
    <t>COUNTY CLERK CRIMINAL PRESERVATION (FUND 515)</t>
  </si>
  <si>
    <t>460.590</t>
  </si>
  <si>
    <t>460.590.4402.45</t>
  </si>
  <si>
    <t>460.580</t>
  </si>
  <si>
    <t>460.580.4402.45</t>
  </si>
  <si>
    <t>460.690</t>
  </si>
  <si>
    <t>460.690.4144.45</t>
  </si>
  <si>
    <t>450.570.4321.45</t>
  </si>
  <si>
    <t>450.570.4332.45</t>
  </si>
  <si>
    <t>450.570.4401.45</t>
  </si>
  <si>
    <t>450.570.4421.45</t>
  </si>
  <si>
    <t>450.570.4429.45</t>
  </si>
  <si>
    <t>450.570.4441.45</t>
  </si>
  <si>
    <t>450.570.4572.45</t>
  </si>
  <si>
    <t>450.570.4783.45</t>
  </si>
  <si>
    <t>100.465.4101.15</t>
  </si>
  <si>
    <t>100.465.4111.15</t>
  </si>
  <si>
    <t>COURTHOUSE CONSTRUCTION FUND</t>
  </si>
  <si>
    <t>100.581.4111.45</t>
  </si>
  <si>
    <t>100.581.4155.45</t>
  </si>
  <si>
    <t>100.581.4201.45</t>
  </si>
  <si>
    <t>100.581.4203.45</t>
  </si>
  <si>
    <t>100.581.4205.45</t>
  </si>
  <si>
    <t>100.581.4311.45</t>
  </si>
  <si>
    <t>100.581.4321.45</t>
  </si>
  <si>
    <t>100.581.4457.45</t>
  </si>
  <si>
    <t>100.581.4572.45</t>
  </si>
  <si>
    <t>100.583</t>
  </si>
  <si>
    <t>100.583.4755.45</t>
  </si>
  <si>
    <t>100.583.4760.45</t>
  </si>
  <si>
    <t>100.583.4765.45</t>
  </si>
  <si>
    <t>100.583.4766.45</t>
  </si>
  <si>
    <t>100.583.4770.45</t>
  </si>
  <si>
    <t>100.583.4771.45</t>
  </si>
  <si>
    <t>100.631</t>
  </si>
  <si>
    <t>100.631.4102.55</t>
  </si>
  <si>
    <t>100.631.4105.55</t>
  </si>
  <si>
    <t>100.631.4117.55</t>
  </si>
  <si>
    <t>100.631.4201.55</t>
  </si>
  <si>
    <t>100.631.4203.55</t>
  </si>
  <si>
    <t>100.631.4205.55</t>
  </si>
  <si>
    <t>100.631.4311.55</t>
  </si>
  <si>
    <t>100.631.4421.55</t>
  </si>
  <si>
    <t>100.631.4429.55</t>
  </si>
  <si>
    <t>100.409.4421.10</t>
  </si>
  <si>
    <t>100.409.4427.10</t>
  </si>
  <si>
    <t>100.409.4431.10</t>
  </si>
  <si>
    <t>100.409.4458.10</t>
  </si>
  <si>
    <t>100.565.4332.45</t>
  </si>
  <si>
    <t xml:space="preserve">GOVERNMENTAL </t>
  </si>
  <si>
    <t>145.620.4362.40</t>
  </si>
  <si>
    <t>ROAD DAMAGE (FUND 145)</t>
  </si>
  <si>
    <t>CONSTABLE # 1 (551)</t>
  </si>
  <si>
    <t>240.695.4300.40</t>
  </si>
  <si>
    <t>310.349.3448.00</t>
  </si>
  <si>
    <t>310.349.3449.00</t>
  </si>
  <si>
    <t>310.360.3601.00</t>
  </si>
  <si>
    <t>310.695.4499.10</t>
  </si>
  <si>
    <t>320.349.3448.00</t>
  </si>
  <si>
    <t>320.360.3601.00</t>
  </si>
  <si>
    <t>320.695.4499.10</t>
  </si>
  <si>
    <t>490.330.3986.00</t>
  </si>
  <si>
    <t>100.543.4733.45</t>
  </si>
  <si>
    <t>100.543.4734.45</t>
  </si>
  <si>
    <t>100.543.4738.45</t>
  </si>
  <si>
    <t>100.551</t>
  </si>
  <si>
    <t>100.551.4165.45</t>
  </si>
  <si>
    <t>100.551.4201.45</t>
  </si>
  <si>
    <t>100.551.4203.45</t>
  </si>
  <si>
    <t>100.551.4205.45</t>
  </si>
  <si>
    <t>100.551.4281.45</t>
  </si>
  <si>
    <t>100.551.4311.45</t>
  </si>
  <si>
    <t xml:space="preserve"> GENERAL FUND BALANCE RECAP</t>
  </si>
  <si>
    <t>100.551.4421.45</t>
  </si>
  <si>
    <t>100.551.4321.45</t>
  </si>
  <si>
    <t>100.551.4355.45</t>
  </si>
  <si>
    <t>100.551.4429.45</t>
  </si>
  <si>
    <t>100.551.4455.45</t>
  </si>
  <si>
    <t>100.551.4457.45</t>
  </si>
  <si>
    <t>100.551.4481.45</t>
  </si>
  <si>
    <t>100.551.4572.45</t>
  </si>
  <si>
    <t>100.552</t>
  </si>
  <si>
    <t>100.552.4101.45</t>
  </si>
  <si>
    <t>140.620.4581.40</t>
  </si>
  <si>
    <t>180.365.3912.00</t>
  </si>
  <si>
    <t>180.360.3899.00</t>
  </si>
  <si>
    <t>240.340.3454.00</t>
  </si>
  <si>
    <t>240.360.3727.00</t>
  </si>
  <si>
    <t>240.695.4445.40</t>
  </si>
  <si>
    <t>610.695.4693.95</t>
  </si>
  <si>
    <t>710.695.4568.10</t>
  </si>
  <si>
    <t>740.695.4499.10</t>
  </si>
  <si>
    <t>100.340.3427.00</t>
  </si>
  <si>
    <t>100.360.3747.00</t>
  </si>
  <si>
    <t>100.690.4764.70</t>
  </si>
  <si>
    <t>110.695.4120.15</t>
  </si>
  <si>
    <t>140.620.4461.40</t>
  </si>
  <si>
    <t>240.695.4200.40</t>
  </si>
  <si>
    <t>450.570.4454.45</t>
  </si>
  <si>
    <t>511.349.3441</t>
  </si>
  <si>
    <t>511.403.4439.10</t>
  </si>
  <si>
    <t>511.403.4311.10</t>
  </si>
  <si>
    <t>DC PRESERVATION (FUND 514)</t>
  </si>
  <si>
    <t>COURTHOUSE MAINTENANCE (FUND 750)</t>
  </si>
  <si>
    <t>750.695.4459.10</t>
  </si>
  <si>
    <t>750.695.4572.10</t>
  </si>
  <si>
    <t>TOBACCO SETTLEMENT (FUND 740)</t>
  </si>
  <si>
    <t xml:space="preserve">     GENERAL</t>
  </si>
  <si>
    <t xml:space="preserve">     JURY</t>
  </si>
  <si>
    <t xml:space="preserve">     ROAD &amp; BRIDGE</t>
  </si>
  <si>
    <t xml:space="preserve">     JUVENILE SERVICES</t>
  </si>
  <si>
    <t xml:space="preserve">     BOOT CAMP</t>
  </si>
  <si>
    <t>100.554.4205.45</t>
  </si>
  <si>
    <t>100.554.4281.45</t>
  </si>
  <si>
    <t>100.554.4311.45</t>
  </si>
  <si>
    <t>100.554.4421.45</t>
  </si>
  <si>
    <t>100.554.4321.45</t>
  </si>
  <si>
    <t>100.554.4355.45</t>
  </si>
  <si>
    <t>100.554.4429.45</t>
  </si>
  <si>
    <t>460.330.3372.00</t>
  </si>
  <si>
    <t>460.330.3375.00</t>
  </si>
  <si>
    <t>460.360.3601.00</t>
  </si>
  <si>
    <t>470.310.3101.00</t>
  </si>
  <si>
    <t>470.310.3105.00</t>
  </si>
  <si>
    <t>470.330.3386.00</t>
  </si>
  <si>
    <t>470.340.3471.00</t>
  </si>
  <si>
    <t>470.340.3725.00</t>
  </si>
  <si>
    <t>470.360.3601.00</t>
  </si>
  <si>
    <t>480.330.3397.00</t>
  </si>
  <si>
    <t>480.360.3601.00</t>
  </si>
  <si>
    <t>490.711.4572.10</t>
  </si>
  <si>
    <t xml:space="preserve">490.711 </t>
  </si>
  <si>
    <t>490.712</t>
  </si>
  <si>
    <t>500.349.3443.00</t>
  </si>
  <si>
    <t>500.349.3496.00</t>
  </si>
  <si>
    <t>500.360.3601.00</t>
  </si>
  <si>
    <t>550.349.3443.00</t>
  </si>
  <si>
    <t>550.349.3444.00</t>
  </si>
  <si>
    <t>550.349.3445.00</t>
  </si>
  <si>
    <t>550.349.3446.00</t>
  </si>
  <si>
    <t>550.360.3601.00</t>
  </si>
  <si>
    <t>551.349.3446.00</t>
  </si>
  <si>
    <t>551.360.3601.00</t>
  </si>
  <si>
    <t xml:space="preserve">     FY09 RECOVERY ACT JAG</t>
  </si>
  <si>
    <t>514.349.3450.00</t>
  </si>
  <si>
    <t>514.360.3601.00</t>
  </si>
  <si>
    <t>513.349.3445.00</t>
  </si>
  <si>
    <t>513.360.3601.00</t>
  </si>
  <si>
    <t>512.349.3441.00</t>
  </si>
  <si>
    <t>512.360.3601.00</t>
  </si>
  <si>
    <t>511.349.3442.00</t>
  </si>
  <si>
    <t>511.360.3601.00</t>
  </si>
  <si>
    <t>510.349.3444.00</t>
  </si>
  <si>
    <t>510.349.3445.00</t>
  </si>
  <si>
    <t>510.360.3601.00</t>
  </si>
  <si>
    <t>515.349.3450.00</t>
  </si>
  <si>
    <t>515.360.3601.00</t>
  </si>
  <si>
    <t>740.695.4431.10</t>
  </si>
  <si>
    <t>100.454.4355.20</t>
  </si>
  <si>
    <t>100.543.4116.31</t>
  </si>
  <si>
    <t>100.330.3748.45</t>
  </si>
  <si>
    <t>100.360.3915.00</t>
  </si>
  <si>
    <t>100.462</t>
  </si>
  <si>
    <t>100.566.4311.30</t>
  </si>
  <si>
    <t>100.566.4321.30</t>
  </si>
  <si>
    <t>100.566.4429.30</t>
  </si>
  <si>
    <t>100.566.4572.30</t>
  </si>
  <si>
    <t>100.581</t>
  </si>
  <si>
    <t>100.543.4311.45</t>
  </si>
  <si>
    <t>100.543.4321.45</t>
  </si>
  <si>
    <t>100.543.4421.45</t>
  </si>
  <si>
    <t>100.543.4355.45</t>
  </si>
  <si>
    <t>100.543.4457.45</t>
  </si>
  <si>
    <t>100.543.4429.45</t>
  </si>
  <si>
    <t>100.543.4481.45</t>
  </si>
  <si>
    <t>100.543.4572.45</t>
  </si>
  <si>
    <t>100.543.4575.45</t>
  </si>
  <si>
    <t>JUSTICE OF THE PEACE, PCT. 4</t>
  </si>
  <si>
    <t>DC PRESERVATION HB3637 FUND (514)</t>
  </si>
  <si>
    <t>CC PRESERVATION HB3637 FUND (515)</t>
  </si>
  <si>
    <t>COURT INITIATED GUARDIANSHIP FUND (560)</t>
  </si>
  <si>
    <t>490.330.3709.00</t>
  </si>
  <si>
    <t>490.330.3713.00</t>
  </si>
  <si>
    <t>490.330.3717.00</t>
  </si>
  <si>
    <t>490.330.3740.00</t>
  </si>
  <si>
    <t>490.330.3741.00</t>
  </si>
  <si>
    <t>490.330.3712.00</t>
  </si>
  <si>
    <t>490.330.3714.00</t>
  </si>
  <si>
    <t>490.330.3716.00</t>
  </si>
  <si>
    <t>490.330.3728.00</t>
  </si>
  <si>
    <t>490.330.3951.00</t>
  </si>
  <si>
    <t>490.330.3991.00</t>
  </si>
  <si>
    <t>490.360.3601.00</t>
  </si>
  <si>
    <t>490.330.3952.00</t>
  </si>
  <si>
    <t>NORTH HARRISON WATER SUPPLY</t>
  </si>
  <si>
    <t>490.330.3953.00</t>
  </si>
  <si>
    <t>490.330.3985.00</t>
  </si>
  <si>
    <t xml:space="preserve">100.402.4271.10       </t>
  </si>
  <si>
    <t xml:space="preserve">100.401.4271.10       </t>
  </si>
  <si>
    <t>100.409.4472.10</t>
  </si>
  <si>
    <t>100.583.4740.31</t>
  </si>
  <si>
    <t>100.695.4564.10</t>
  </si>
  <si>
    <t>100.695.4565.10</t>
  </si>
  <si>
    <t>100.695.4567.10</t>
  </si>
  <si>
    <t>100.695.4499.10</t>
  </si>
  <si>
    <t>JURY (FUND 110)</t>
  </si>
  <si>
    <t>110.695.4112.15</t>
  </si>
  <si>
    <t>110.695.4113.15</t>
  </si>
  <si>
    <t>110.695.4155.15</t>
  </si>
  <si>
    <t>110.695.4201.15</t>
  </si>
  <si>
    <t>110.695.4203.15</t>
  </si>
  <si>
    <t>110.695.4205.15</t>
  </si>
  <si>
    <t>110.695.4473.15</t>
  </si>
  <si>
    <t>110.695.4474.15</t>
  </si>
  <si>
    <t>110.695.4475.15</t>
  </si>
  <si>
    <t>110.695.4476.15</t>
  </si>
  <si>
    <t>110.695.4477.15</t>
  </si>
  <si>
    <t>110.695.4499.15</t>
  </si>
  <si>
    <t>110.695.4572.15</t>
  </si>
  <si>
    <t>120.695.4311.15</t>
  </si>
  <si>
    <t>140.610</t>
  </si>
  <si>
    <t>140.610.4102.10</t>
  </si>
  <si>
    <t>140.610.4111.10</t>
  </si>
  <si>
    <t>140.610.4151.10</t>
  </si>
  <si>
    <t>140.610.4155.10</t>
  </si>
  <si>
    <t>140.610.4201.10</t>
  </si>
  <si>
    <t>140.610.4203.10</t>
  </si>
  <si>
    <t>140.610.4205.10</t>
  </si>
  <si>
    <t>140.610.4271.10</t>
  </si>
  <si>
    <t>140.610.4272.10</t>
  </si>
  <si>
    <t>140.610.4311.10</t>
  </si>
  <si>
    <t>140.610.4321.10</t>
  </si>
  <si>
    <t>140.610.4421.10</t>
  </si>
  <si>
    <t>140.610.4429.10</t>
  </si>
  <si>
    <t>140.610.4481.10</t>
  </si>
  <si>
    <t>140.610.4499.10</t>
  </si>
  <si>
    <t>140.620</t>
  </si>
  <si>
    <t>140.620.4351.40</t>
  </si>
  <si>
    <t>140.620.4353.40</t>
  </si>
  <si>
    <t>140.620.4355.40</t>
  </si>
  <si>
    <t>140.620.4356.40</t>
  </si>
  <si>
    <t>140.620.4357.40</t>
  </si>
  <si>
    <t>140.620.4359.40</t>
  </si>
  <si>
    <t>140.620.4360.40</t>
  </si>
  <si>
    <t>140.620.4361.40</t>
  </si>
  <si>
    <t>140.620.4452.40</t>
  </si>
  <si>
    <t>140.620.4441.40</t>
  </si>
  <si>
    <t>140.620.4453.40</t>
  </si>
  <si>
    <t>140.620.4498.40</t>
  </si>
  <si>
    <t>140.620.4525.40</t>
  </si>
  <si>
    <t>140.620.4555.40</t>
  </si>
  <si>
    <t>140.620.4561.40</t>
  </si>
  <si>
    <t>140.620.4571.40</t>
  </si>
  <si>
    <t>140.620.4575.40</t>
  </si>
  <si>
    <t>140.620.4572.40</t>
  </si>
  <si>
    <t>180.543.4572.45</t>
  </si>
  <si>
    <t>220.551.4429.45</t>
  </si>
  <si>
    <t>220.552.4429.45</t>
  </si>
  <si>
    <t>220.553.4429.45</t>
  </si>
  <si>
    <t>220.554.4429.45</t>
  </si>
  <si>
    <t>220.543.4429.45</t>
  </si>
  <si>
    <t>220.454.4429.45</t>
  </si>
  <si>
    <t>220.554.4435.45</t>
  </si>
  <si>
    <t>STATE TRAINING (FUND 220)</t>
  </si>
  <si>
    <t>AIRPORT MAINTENANCE (FUND 240)</t>
  </si>
  <si>
    <t>240.695.4311.40</t>
  </si>
  <si>
    <t>100.552.4155.45</t>
  </si>
  <si>
    <t>100.552.4201.45</t>
  </si>
  <si>
    <t>100.552.4203.45</t>
  </si>
  <si>
    <t>100.552.4205.45</t>
  </si>
  <si>
    <t>100.552.4281.45</t>
  </si>
  <si>
    <t>100.552.4311.45</t>
  </si>
  <si>
    <t>100.552.4321.45</t>
  </si>
  <si>
    <t>240.695.4332.40</t>
  </si>
  <si>
    <t>240.695.4355.40</t>
  </si>
  <si>
    <t>240.695.4429.40</t>
  </si>
  <si>
    <t>240.695.4441.40</t>
  </si>
  <si>
    <t>240.695.4459.40</t>
  </si>
  <si>
    <t>240.695.4460.40</t>
  </si>
  <si>
    <t>240.695.4527.40</t>
  </si>
  <si>
    <t>240.695.4572.40</t>
  </si>
  <si>
    <t>260.499.4429.30</t>
  </si>
  <si>
    <t>260.499.4572.30</t>
  </si>
  <si>
    <t>VIT ESCROW (FUND 260)</t>
  </si>
  <si>
    <t>JUSTICE TECHNOLOGY (FUND 300)</t>
  </si>
  <si>
    <t>300.695.4578.10</t>
  </si>
  <si>
    <t>300.695.4572.10</t>
  </si>
  <si>
    <t>LAW LIBRARY (FUND 410)</t>
  </si>
  <si>
    <t>410.695.4103.15</t>
  </si>
  <si>
    <t>410.695.4572.15</t>
  </si>
  <si>
    <t>GENERAL FUND SUMMARY</t>
  </si>
  <si>
    <t>RECORDS PRESERVATION FUND (500-515)</t>
  </si>
  <si>
    <t>i</t>
  </si>
  <si>
    <t xml:space="preserve">     JAIL CONSTRUCTION</t>
  </si>
  <si>
    <t>OFFICE HELD</t>
  </si>
  <si>
    <t>COMMISSIONER PCT. #1</t>
  </si>
  <si>
    <t>COMMISSIONER PCT. #2</t>
  </si>
  <si>
    <t>COMMISSIONER PCT. #3</t>
  </si>
  <si>
    <t>CONSTABLE #2 (552)</t>
  </si>
  <si>
    <t>CONSTABLE #3 (553)</t>
  </si>
  <si>
    <t>CONSTABLE #4 (554)</t>
  </si>
  <si>
    <t>SHERIFF (561)</t>
  </si>
  <si>
    <t>JAIL EXPENSE (565)</t>
  </si>
  <si>
    <t>DPS (581)</t>
  </si>
  <si>
    <t xml:space="preserve">PUBLIC SAFETY (583) </t>
  </si>
  <si>
    <t xml:space="preserve">     HEALTH DEPARTMENT</t>
  </si>
  <si>
    <t>ON-SITE SEWAGE SERVICES (631)</t>
  </si>
  <si>
    <t>WELFARE (641)</t>
  </si>
  <si>
    <t>CULTURE &amp; RECREATION (651)</t>
  </si>
  <si>
    <t>100.631.4321.55</t>
  </si>
  <si>
    <t>100.665.4111.65</t>
  </si>
  <si>
    <t>100.665.4155.65</t>
  </si>
  <si>
    <t>100.665.4271.65</t>
  </si>
  <si>
    <t>100.665.4201.65</t>
  </si>
  <si>
    <t>100.665.4203.65</t>
  </si>
  <si>
    <t>100.665.4205.65</t>
  </si>
  <si>
    <t>100.665.4311.65</t>
  </si>
  <si>
    <t>100.665.4429.65</t>
  </si>
  <si>
    <t>100.665.4572.65</t>
  </si>
  <si>
    <t>100.690</t>
  </si>
  <si>
    <t>100.690.4787.70</t>
  </si>
  <si>
    <t>100.690.4790.70</t>
  </si>
  <si>
    <t>100.690.4788.70</t>
  </si>
  <si>
    <t>100.690.4792.70</t>
  </si>
  <si>
    <t>100.690.4789.70</t>
  </si>
  <si>
    <t>100.695</t>
  </si>
  <si>
    <t>100.695.4563.10</t>
  </si>
  <si>
    <t>COMMISSIONER PCT. #4</t>
  </si>
  <si>
    <t>COUNTY COURT AT LAW JUDGE</t>
  </si>
  <si>
    <t>710.695.4562.10</t>
  </si>
  <si>
    <t>Estimated disbursements for maintenance and operations from all funds included in the budget</t>
  </si>
  <si>
    <t>Respectfully submitted,</t>
  </si>
  <si>
    <t>____________________________________</t>
  </si>
  <si>
    <t>HARRISON COUNTY</t>
  </si>
  <si>
    <t>ELECTED COUNTY AND DISTRICT OFFICIALS</t>
  </si>
  <si>
    <t>COUNTY JUDGE</t>
  </si>
  <si>
    <t>COMMISSIONER, PRECINCT 1</t>
  </si>
  <si>
    <t>COMMISSIONER, PRECINCT 2</t>
  </si>
  <si>
    <t>COMMISSIONER, PRECINCT 3</t>
  </si>
  <si>
    <t>COMMISSIONER. PRECINCT 4</t>
  </si>
  <si>
    <t>COUNTY CLERK</t>
  </si>
  <si>
    <t>COUNTY COURT-AT-LAW JUDGE</t>
  </si>
  <si>
    <t>DISTRICT JUDGE</t>
  </si>
  <si>
    <t>DISTRICT CLERK</t>
  </si>
  <si>
    <t>DISTRICT ATTORNEY</t>
  </si>
  <si>
    <t>JUSTICE OF THE PEACE, PRECINCT 1</t>
  </si>
  <si>
    <t>JUSTICE OF THE PEACE, PRECINCT 2</t>
  </si>
  <si>
    <t>JUSTICE OF THE PEACE, PRECINCT 3</t>
  </si>
  <si>
    <t>100.561.4573.45</t>
  </si>
  <si>
    <t>LICENSES &amp; PERMITS</t>
  </si>
  <si>
    <t>FINES &amp; FORFEITURES</t>
  </si>
  <si>
    <t>460.576.4165.45</t>
  </si>
  <si>
    <t>450.570.4165.45</t>
  </si>
  <si>
    <t>220.330.3422.00</t>
  </si>
  <si>
    <t>220.330.3423.00</t>
  </si>
  <si>
    <t>220.330.3424.00</t>
  </si>
  <si>
    <t>220.330.3425.00</t>
  </si>
  <si>
    <t>220.330.3454.00</t>
  </si>
  <si>
    <t>220.360.3601.00</t>
  </si>
  <si>
    <t>220.360.3899.00</t>
  </si>
  <si>
    <t>240.310.3101.00</t>
  </si>
  <si>
    <t>240.310.3105.00</t>
  </si>
  <si>
    <t>100.402.4311.10</t>
  </si>
  <si>
    <t>100.402.4321.10</t>
  </si>
  <si>
    <t>100.402.4421.10</t>
  </si>
  <si>
    <t>100.402.4429.10</t>
  </si>
  <si>
    <t>100.402.4481.10</t>
  </si>
  <si>
    <t>100.402.4572.10</t>
  </si>
  <si>
    <t>100.403</t>
  </si>
  <si>
    <t>100.403.4101.10</t>
  </si>
  <si>
    <t>100.403.4104.10</t>
  </si>
  <si>
    <t>100.403.4155.10</t>
  </si>
  <si>
    <t>100.403.4201.10</t>
  </si>
  <si>
    <t>100.403.4203.10</t>
  </si>
  <si>
    <t>100.403.4205.10</t>
  </si>
  <si>
    <t>100.403.4311.10</t>
  </si>
  <si>
    <t>100.403.4321.10</t>
  </si>
  <si>
    <t>100.403.4429.10</t>
  </si>
  <si>
    <t>100.403.4459.10</t>
  </si>
  <si>
    <t>100.403.4481.10</t>
  </si>
  <si>
    <t>100.403.4572.10</t>
  </si>
  <si>
    <t>100.405</t>
  </si>
  <si>
    <t>100.405.4111.10</t>
  </si>
  <si>
    <t>100.405.4155.10</t>
  </si>
  <si>
    <t>100.405.4201.10</t>
  </si>
  <si>
    <t>100.405.4203.10</t>
  </si>
  <si>
    <t>100.405.4205.10</t>
  </si>
  <si>
    <t>100.631.4281.55</t>
  </si>
  <si>
    <t>100.405.4429.10</t>
  </si>
  <si>
    <t>100.407</t>
  </si>
  <si>
    <t>100.407.4102.25</t>
  </si>
  <si>
    <t>100.407.4104.25</t>
  </si>
  <si>
    <t>100.407.4155.25</t>
  </si>
  <si>
    <t>100.407.4201.25</t>
  </si>
  <si>
    <t>300.695.4421.10</t>
  </si>
  <si>
    <t>100.401.4109.10</t>
  </si>
  <si>
    <t>100.401.4155.10</t>
  </si>
  <si>
    <t>100.401.4201.10</t>
  </si>
  <si>
    <t>100.401.4203.10</t>
  </si>
  <si>
    <t>100.401.4205.10</t>
  </si>
  <si>
    <t>100.401.4311.10</t>
  </si>
  <si>
    <t>100.401.4321.10</t>
  </si>
  <si>
    <t>100.401.4421.10</t>
  </si>
  <si>
    <t>100.401.4429.10</t>
  </si>
  <si>
    <t>100.401.4481.10</t>
  </si>
  <si>
    <t>100.401.4572.10</t>
  </si>
  <si>
    <t>100.402</t>
  </si>
  <si>
    <t>100.402.4101.10</t>
  </si>
  <si>
    <t>100.402.4103.10</t>
  </si>
  <si>
    <t>100.402.4155.10</t>
  </si>
  <si>
    <t>100.402.4201.10</t>
  </si>
  <si>
    <t>100.402.4203.10</t>
  </si>
  <si>
    <t>100.402.4205.10</t>
  </si>
  <si>
    <t>JUVENILE SERVICES (FUND 450)</t>
  </si>
  <si>
    <t>CONSERVATION (661)</t>
  </si>
  <si>
    <t>EXTENSION AGENTS (665)</t>
  </si>
  <si>
    <t>6TH COURT OF APPEALS FUND (570)</t>
  </si>
  <si>
    <t>POOLED CASH (999)</t>
  </si>
  <si>
    <t>100.340.3494.00</t>
  </si>
  <si>
    <t>100.340.3495.00</t>
  </si>
  <si>
    <t>100.340.3719.00</t>
  </si>
  <si>
    <t>100.341.3431.00</t>
  </si>
  <si>
    <t>100.342.3431.00</t>
  </si>
  <si>
    <t>100.343.3431.00</t>
  </si>
  <si>
    <t>100.349.3431.00</t>
  </si>
  <si>
    <t>100.341.3438.00</t>
  </si>
  <si>
    <t>100.342.3438.00</t>
  </si>
  <si>
    <t>100.343.3438.00</t>
  </si>
  <si>
    <t>100.349.3438.00</t>
  </si>
  <si>
    <t>100.330.3206.00</t>
  </si>
  <si>
    <t>100.330.3205.00</t>
  </si>
  <si>
    <t>100.330.3207.00</t>
  </si>
  <si>
    <t>100.330.3705.00</t>
  </si>
  <si>
    <t>100.330.3711.00</t>
  </si>
  <si>
    <t>100.330.3724.00</t>
  </si>
  <si>
    <t>100.330.3731.00</t>
  </si>
  <si>
    <t>100.341.3433.00</t>
  </si>
  <si>
    <t>100.342.3433.00</t>
  </si>
  <si>
    <t>100.343.3433.00</t>
  </si>
  <si>
    <t xml:space="preserve">     2009 SHSP LEAP</t>
  </si>
  <si>
    <t xml:space="preserve">          SALARY-COUNTY GRANT</t>
  </si>
  <si>
    <t>100.554.4455.45</t>
  </si>
  <si>
    <t>JAIL ANNEX EXPENSE (564)</t>
  </si>
  <si>
    <t>100.565.4457.45</t>
  </si>
  <si>
    <t>100.565.4461.45</t>
  </si>
  <si>
    <t>(LONGEVITY, UNIFORM,
CELL PHONE &amp; CERTIFICATION
 PAY)</t>
  </si>
  <si>
    <t>220.330.3421.00</t>
  </si>
  <si>
    <t xml:space="preserve">     PARTS &amp; REPAIR</t>
  </si>
  <si>
    <t>HARRISON  COUNTY</t>
  </si>
  <si>
    <t>GOVERNMENTAL REVENUE</t>
  </si>
  <si>
    <t>100.454.4572.20</t>
  </si>
  <si>
    <t>100.360.3648.00</t>
  </si>
  <si>
    <t>100.360.3654.00</t>
  </si>
  <si>
    <t>100.561.4416.45</t>
  </si>
  <si>
    <t>100.360.3727.00</t>
  </si>
  <si>
    <t>100.365.3723.00</t>
  </si>
  <si>
    <t>100.454.4201.20</t>
  </si>
  <si>
    <t>100.454.4203.20</t>
  </si>
  <si>
    <t>100.454.4205.20</t>
  </si>
  <si>
    <t>100.454.4311.20</t>
  </si>
  <si>
    <t>100.454.4321.20</t>
  </si>
  <si>
    <t>100.454.4417.20</t>
  </si>
  <si>
    <t>100.454.4421.20</t>
  </si>
  <si>
    <t>100.454.4429.20</t>
  </si>
  <si>
    <t>100.454.4457.20</t>
  </si>
  <si>
    <t>100.454.4481.20</t>
  </si>
  <si>
    <t>SUB-TOTAL-MAINTENANCE</t>
  </si>
  <si>
    <t>JUVENILE - BOOT CAMP (FUND 470)</t>
  </si>
  <si>
    <t xml:space="preserve">     EQUIP/MAINTENANCE</t>
  </si>
  <si>
    <t>SIXTH COURT OF APPEALS (FUND 570)</t>
  </si>
  <si>
    <t xml:space="preserve">     2011 CAPITAL LEASE-RB-MG-#005-PRINCIPAL</t>
  </si>
  <si>
    <t xml:space="preserve">     2011 CAPITAL LEASE-RB-MG-#005 INTEREST</t>
  </si>
  <si>
    <t xml:space="preserve">     2012 CAPITAL LEASE-SO/RB #006 PRINCIPAL</t>
  </si>
  <si>
    <t xml:space="preserve">     2012 CAPITAL LEASE-SO/RB #006 INTEREST</t>
  </si>
  <si>
    <t>610.695.4689.90</t>
  </si>
  <si>
    <t>610.695.4690.95</t>
  </si>
  <si>
    <t>610.695.4692.90</t>
  </si>
  <si>
    <t>100.553.4321.45</t>
  </si>
  <si>
    <t>100.564</t>
  </si>
  <si>
    <t>100.564.4151.45</t>
  </si>
  <si>
    <t>100.564.4118.45</t>
  </si>
  <si>
    <t>100.564.4155.45</t>
  </si>
  <si>
    <t>100.564.4165.45</t>
  </si>
  <si>
    <t>100.564.4201.45</t>
  </si>
  <si>
    <t>100.564.4203.45</t>
  </si>
  <si>
    <t>100.564.4205.45</t>
  </si>
  <si>
    <t>100.564.4281.45</t>
  </si>
  <si>
    <t>100.564.4311.45</t>
  </si>
  <si>
    <t>100.564.4321.45</t>
  </si>
  <si>
    <t>100.564.4332.45</t>
  </si>
  <si>
    <t>100.564.4334.45</t>
  </si>
  <si>
    <t>100.564.4336.45</t>
  </si>
  <si>
    <t>100.564.4396.45</t>
  </si>
  <si>
    <t>100.564.4459.45</t>
  </si>
  <si>
    <t>100.564.4572.45</t>
  </si>
  <si>
    <t>100.564.4783.45</t>
  </si>
  <si>
    <t>100.340.3426.00</t>
  </si>
  <si>
    <t>100.340.3498.00</t>
  </si>
  <si>
    <t>100.407.4487.25</t>
  </si>
  <si>
    <t>100.407.4489.25</t>
  </si>
  <si>
    <t>100.565.4429.45</t>
  </si>
  <si>
    <t>SUB-TOTAL-ADMIN</t>
  </si>
  <si>
    <t>MAINTENANCE-R&amp;B (620)</t>
  </si>
  <si>
    <t>450.692.4201.45</t>
  </si>
  <si>
    <t>450.692.4203.45</t>
  </si>
  <si>
    <t>450.692.4205.45</t>
  </si>
  <si>
    <t>450.692.4311.45</t>
  </si>
  <si>
    <t>450.692.4334.45</t>
  </si>
  <si>
    <t>450.692.4572.45</t>
  </si>
  <si>
    <t>Final Maturity</t>
  </si>
  <si>
    <t>100.407.4486.25</t>
  </si>
  <si>
    <t>100.330.3208.00</t>
  </si>
  <si>
    <t>100.360.3653.00</t>
  </si>
  <si>
    <t xml:space="preserve">     TOBACCO SETTLEMENT</t>
  </si>
  <si>
    <t xml:space="preserve">     EMERGENCY OPERATIONS</t>
  </si>
  <si>
    <t>100.564.4583.45</t>
  </si>
  <si>
    <t>Estimated Total Taxable Value</t>
  </si>
  <si>
    <t>General Obligations</t>
  </si>
  <si>
    <t>100.451.4104.15</t>
  </si>
  <si>
    <t>100.451.4155.15</t>
  </si>
  <si>
    <t>100.451.4201.15</t>
  </si>
  <si>
    <t>100.451.4203.15</t>
  </si>
  <si>
    <t>100.451.4205.15</t>
  </si>
  <si>
    <t>100.451.4311.15</t>
  </si>
  <si>
    <t>100.451.4321.15</t>
  </si>
  <si>
    <t>100.451.4429.15</t>
  </si>
  <si>
    <t>100.451.4481.15</t>
  </si>
  <si>
    <t>100.451.4572.15</t>
  </si>
  <si>
    <t>100.454</t>
  </si>
  <si>
    <t>100.454.4101.20</t>
  </si>
  <si>
    <t>COUNTY COURT-AT-LAW (426)</t>
  </si>
  <si>
    <t>TOTAL ADJUSTED TAXABLE VALUE</t>
  </si>
  <si>
    <t>TAX CEILING RECEIVABLE</t>
  </si>
  <si>
    <t>TOTAL TAX LEVY</t>
  </si>
  <si>
    <t>DISTRICT JUDGE (435)</t>
  </si>
  <si>
    <t>DISTRICT CLERK (451)</t>
  </si>
  <si>
    <t xml:space="preserve">     ETCOG PLACEMENT</t>
  </si>
  <si>
    <t xml:space="preserve">JUVENILE STATE AID - GRANT "X"   </t>
  </si>
  <si>
    <t xml:space="preserve">     GROUP INSURANCE</t>
  </si>
  <si>
    <t xml:space="preserve">     TRAVEL EXPENSE</t>
  </si>
  <si>
    <t>DISTRICT ATTORNEY (454)</t>
  </si>
  <si>
    <t>DISBURSEMENTS (EXPENDITURES)</t>
  </si>
  <si>
    <t>JUSTICE OF THE PEACE #1 (461)</t>
  </si>
  <si>
    <t>JUSTICE OF THE PEACE #3 (463)</t>
  </si>
  <si>
    <t>JUSTICE OF THE PEACE #4-1 (465)</t>
  </si>
  <si>
    <t>100.465</t>
  </si>
  <si>
    <t>450.330.3389.00</t>
  </si>
  <si>
    <t>450.692.4145.45</t>
  </si>
  <si>
    <t>450.692.4155.45</t>
  </si>
  <si>
    <t>100.471.4406.20</t>
  </si>
  <si>
    <t>100.471.4407.20</t>
  </si>
  <si>
    <t>100.471.4408.20</t>
  </si>
  <si>
    <t>100.471.4409.20</t>
  </si>
  <si>
    <t>100.471.4495.20</t>
  </si>
  <si>
    <t>100.471.4496.20</t>
  </si>
  <si>
    <t>100.495</t>
  </si>
  <si>
    <t>100.495.4102.30</t>
  </si>
  <si>
    <t>100.495.4105.30</t>
  </si>
  <si>
    <t>100.495.4155.30</t>
  </si>
  <si>
    <t>100.495.4201.30</t>
  </si>
  <si>
    <t>LEVY</t>
  </si>
  <si>
    <t>100.495.4203.30</t>
  </si>
  <si>
    <t>100.495.4205.30</t>
  </si>
  <si>
    <t>100.495.4311.30</t>
  </si>
  <si>
    <t>100.495.4321.30</t>
  </si>
  <si>
    <t>100.495.4401.30</t>
  </si>
  <si>
    <t>100.495.4429.30</t>
  </si>
  <si>
    <t>100.495.4481.30</t>
  </si>
  <si>
    <t>100.495.4572.30</t>
  </si>
  <si>
    <t>100.496</t>
  </si>
  <si>
    <t>100.496.4102.10</t>
  </si>
  <si>
    <t>100.496.4105.10</t>
  </si>
  <si>
    <t>100.496.4155.10</t>
  </si>
  <si>
    <t>100.496.4201.10</t>
  </si>
  <si>
    <t>100.496.4203.10</t>
  </si>
  <si>
    <t>100.496.4205.10</t>
  </si>
  <si>
    <t>100.496.4311.10</t>
  </si>
  <si>
    <t>100.496.4321.10</t>
  </si>
  <si>
    <t>100.496.4429.10</t>
  </si>
  <si>
    <t>100.496.4572.10</t>
  </si>
  <si>
    <t>100.497</t>
  </si>
  <si>
    <t>100.497.4101.30</t>
  </si>
  <si>
    <t>100.497.4104.30</t>
  </si>
  <si>
    <t>100.497.4155.30</t>
  </si>
  <si>
    <t>100.497.4205.30</t>
  </si>
  <si>
    <t>100.497.4203.30</t>
  </si>
  <si>
    <t>100.497.4201.30</t>
  </si>
  <si>
    <t>100.497.4311.30</t>
  </si>
  <si>
    <t>100.497.4321.30</t>
  </si>
  <si>
    <t>100.497.4429.30</t>
  </si>
  <si>
    <t>100.497.4481.30</t>
  </si>
  <si>
    <t>100.497.4572.30</t>
  </si>
  <si>
    <t>100.499</t>
  </si>
  <si>
    <t>100.499.4101.30</t>
  </si>
  <si>
    <t>100.499.4104.30</t>
  </si>
  <si>
    <t>100.499.4117.30</t>
  </si>
  <si>
    <t>100.499.4155.30</t>
  </si>
  <si>
    <t>100.499.4201.30</t>
  </si>
  <si>
    <t>100.499.4203.30</t>
  </si>
  <si>
    <t>100.499.4205.30</t>
  </si>
  <si>
    <t>SECURITY FUND ( FUND 550)</t>
  </si>
  <si>
    <t>551.521.4793.45</t>
  </si>
  <si>
    <t>610.695.4683.90</t>
  </si>
  <si>
    <t>610.695.4684.95</t>
  </si>
  <si>
    <t>570.349.3453.00</t>
  </si>
  <si>
    <t>570.403.4443.00</t>
  </si>
  <si>
    <t>SIXTH COURT OF APPEALS ( FUND 570)</t>
  </si>
  <si>
    <t>PERMANENT IMPROVEMENT FUND</t>
  </si>
  <si>
    <t>JAIL CONSTRUCTION FUND</t>
  </si>
  <si>
    <t>BALANCE BEGINNING OF YEAR</t>
  </si>
  <si>
    <t>JUSTICE OF THE PEACE PCT. #2</t>
  </si>
  <si>
    <t xml:space="preserve">     2009 SHSP MOBILE COMMAND POST GRANT</t>
  </si>
  <si>
    <t>490.330.3744.00</t>
  </si>
  <si>
    <t xml:space="preserve">     2010 SHSP (WEST HARRISON HCSO &amp; VOTERS)</t>
  </si>
  <si>
    <t>490.330.3745.00</t>
  </si>
  <si>
    <t xml:space="preserve">     2010 SHSP - LETPA</t>
  </si>
  <si>
    <t>490.330.3746.00</t>
  </si>
  <si>
    <t xml:space="preserve">     2011 SHSP - LETPA (SO RADIO)</t>
  </si>
  <si>
    <t xml:space="preserve">     2008 TXCDBG DISASTER RECOVERY GENERATORS </t>
  </si>
  <si>
    <t>490.701.4205.55</t>
  </si>
  <si>
    <t>490.713</t>
  </si>
  <si>
    <t>490.713.4572.45</t>
  </si>
  <si>
    <t>490.714</t>
  </si>
  <si>
    <t xml:space="preserve">     2009 SHSP-GRANT MOBILE COMMAND POST</t>
  </si>
  <si>
    <t>490.714.4572.45</t>
  </si>
  <si>
    <t>490.716</t>
  </si>
  <si>
    <t>490.716.4572.45</t>
  </si>
  <si>
    <t>490.717</t>
  </si>
  <si>
    <t xml:space="preserve">     2010 HOMELAND SECURITY-LETPA</t>
  </si>
  <si>
    <t>490.717.4572.45</t>
  </si>
  <si>
    <t>490.718</t>
  </si>
  <si>
    <t>490.718.4572.45</t>
  </si>
  <si>
    <t>100.426.4201.15</t>
  </si>
  <si>
    <t>100.426.4203.15</t>
  </si>
  <si>
    <t>100.426.4205.15</t>
  </si>
  <si>
    <t>100.426.4311.15</t>
  </si>
  <si>
    <t>100.426.4321.15</t>
  </si>
  <si>
    <t>100.426.4429.15</t>
  </si>
  <si>
    <t>100.426.4481.15</t>
  </si>
  <si>
    <t>100.426.4572.15</t>
  </si>
  <si>
    <t>100.435</t>
  </si>
  <si>
    <t>100.435.4101.15</t>
  </si>
  <si>
    <t>100.435.4114.15</t>
  </si>
  <si>
    <t>100.435.4131.15</t>
  </si>
  <si>
    <t>100.435.4155.15</t>
  </si>
  <si>
    <t>100.435.4201.15</t>
  </si>
  <si>
    <t>100.435.4203.15</t>
  </si>
  <si>
    <t>100.435.4205.15</t>
  </si>
  <si>
    <t>100.435.4311.15</t>
  </si>
  <si>
    <t>100.435.4321.15</t>
  </si>
  <si>
    <t>DISMISSAL, DDC, TRAFFIC</t>
  </si>
  <si>
    <t>JUVENILE STATE AID - GRANT "H"</t>
  </si>
  <si>
    <t xml:space="preserve">     INTEREST</t>
  </si>
  <si>
    <t>100.465.4205.15</t>
  </si>
  <si>
    <t>100.465.4311.15</t>
  </si>
  <si>
    <t>100.465.4321.15</t>
  </si>
  <si>
    <t>100.465.4421.15</t>
  </si>
  <si>
    <t xml:space="preserve">GENERAL FUND (100) </t>
  </si>
  <si>
    <t>100.341</t>
  </si>
  <si>
    <t>100.360</t>
  </si>
  <si>
    <t>GENERAL FUND (FUND 100)</t>
  </si>
  <si>
    <t>GENERAL FUND (100)</t>
  </si>
  <si>
    <t>BAIL BOND (FUND 120)</t>
  </si>
  <si>
    <t>ROAD &amp; BRIDGE (FUND 140)</t>
  </si>
  <si>
    <t>ROAD &amp; BRIDGE FUND (140)</t>
  </si>
  <si>
    <t>140.310</t>
  </si>
  <si>
    <t>140.320</t>
  </si>
  <si>
    <t>140.330</t>
  </si>
  <si>
    <t>140.350</t>
  </si>
  <si>
    <t>140.360</t>
  </si>
  <si>
    <t>EMERGENCY OPERATION (FUND 180)</t>
  </si>
  <si>
    <t>450.310</t>
  </si>
  <si>
    <t>450.330</t>
  </si>
  <si>
    <t>450.340</t>
  </si>
  <si>
    <t>450.360</t>
  </si>
  <si>
    <t>460.330</t>
  </si>
  <si>
    <t>570.349.3452.00</t>
  </si>
  <si>
    <t>100.631.4428.55</t>
  </si>
  <si>
    <t>100.409.4487.10</t>
  </si>
  <si>
    <t>100.631.4491.55</t>
  </si>
  <si>
    <t>100.631.4572.55</t>
  </si>
  <si>
    <t>100.641</t>
  </si>
  <si>
    <t>100.641.4201.55</t>
  </si>
  <si>
    <t>100.641.4102.55</t>
  </si>
  <si>
    <t>100.641.4104.55</t>
  </si>
  <si>
    <t>100.641.4155.55</t>
  </si>
  <si>
    <t>100.641.4203.55</t>
  </si>
  <si>
    <t>100.641.4205.55</t>
  </si>
  <si>
    <t>100.641.4311.55</t>
  </si>
  <si>
    <t>100.641.4321.55</t>
  </si>
  <si>
    <t>100.641.4429.55</t>
  </si>
  <si>
    <t>100.641.4572.55</t>
  </si>
  <si>
    <t>100.651</t>
  </si>
  <si>
    <t>100.651.4711.60</t>
  </si>
  <si>
    <t>100.651.4712.60</t>
  </si>
  <si>
    <t>100.651.4720.60</t>
  </si>
  <si>
    <t>100.651.4761.60</t>
  </si>
  <si>
    <t>100.651.4762.60</t>
  </si>
  <si>
    <t>100.661</t>
  </si>
  <si>
    <t>100.661.4701.65</t>
  </si>
  <si>
    <t>100.661.4780.65</t>
  </si>
  <si>
    <t>100.665</t>
  </si>
  <si>
    <t>100.665.4102.65</t>
  </si>
  <si>
    <t>100.565.4575.45</t>
  </si>
  <si>
    <t>SUB-TOTAL</t>
  </si>
  <si>
    <t>COUNTY GRANTS</t>
  </si>
  <si>
    <t xml:space="preserve">          SOCIAL SECURITY</t>
  </si>
  <si>
    <t xml:space="preserve">          RETIREMENT</t>
  </si>
  <si>
    <t xml:space="preserve">          EQUIPMENT/MAINTENANCE</t>
  </si>
  <si>
    <t xml:space="preserve">     SALARIES</t>
  </si>
  <si>
    <t xml:space="preserve">     TITLE IV-E PLACEMENT</t>
  </si>
  <si>
    <t xml:space="preserve">     CONSULTANT'S FEES</t>
  </si>
  <si>
    <t xml:space="preserve">     VITAL RECORD FEES</t>
  </si>
  <si>
    <t>450.570.4100.45</t>
  </si>
  <si>
    <t>450.570.4109.45</t>
  </si>
  <si>
    <t>450.570.4151.45</t>
  </si>
  <si>
    <t>450.570.4155.45</t>
  </si>
  <si>
    <t>450.570.4201.45</t>
  </si>
  <si>
    <t>450.570.4205.45</t>
  </si>
  <si>
    <t>450.570.4203.45</t>
  </si>
  <si>
    <t>450.570.4281.45</t>
  </si>
  <si>
    <t>460.576.4151.45</t>
  </si>
  <si>
    <t xml:space="preserve">     COURTHOUSE MAINTENANCE</t>
  </si>
  <si>
    <t>ELEVATOR FUND</t>
  </si>
  <si>
    <t>JUVENILE TITLE IV-E FUND</t>
  </si>
  <si>
    <t>460.576.4402.45</t>
  </si>
  <si>
    <t>450.570.4311.45</t>
  </si>
  <si>
    <t>450.570.4313.45</t>
  </si>
  <si>
    <t>460.330.3378.00</t>
  </si>
  <si>
    <t>460.582</t>
  </si>
  <si>
    <t>460.582.4402.45</t>
  </si>
  <si>
    <t>460.582.4783.45</t>
  </si>
  <si>
    <t>460.582.4785.45</t>
  </si>
  <si>
    <t>100.501.4429.30</t>
  </si>
  <si>
    <t>100.501.4481.30</t>
  </si>
  <si>
    <t>100.501.4572.30</t>
  </si>
  <si>
    <t>100.503</t>
  </si>
  <si>
    <t>100.503.4102.30</t>
  </si>
  <si>
    <t>100.503.4105.30</t>
  </si>
  <si>
    <t>100.503.4117.30</t>
  </si>
  <si>
    <t>100.503.4271.30</t>
  </si>
  <si>
    <t>100.503.4155.30</t>
  </si>
  <si>
    <t>100.503.4201.30</t>
  </si>
  <si>
    <t>100.503.4203.30</t>
  </si>
  <si>
    <t>100.503.4205.30</t>
  </si>
  <si>
    <t>100.503.4311.30</t>
  </si>
  <si>
    <t>100.503.4321.30</t>
  </si>
  <si>
    <t>100.503.4421.30</t>
  </si>
  <si>
    <t>100.503.4429.30</t>
  </si>
  <si>
    <t>100.503.4572.30</t>
  </si>
  <si>
    <t>100.511</t>
  </si>
  <si>
    <t>100.511.4102.35</t>
  </si>
  <si>
    <t>100.511.4115.35</t>
  </si>
  <si>
    <t>100.511.4105.35</t>
  </si>
  <si>
    <t>100.511.4134.35</t>
  </si>
  <si>
    <t>100.511.4155.35</t>
  </si>
  <si>
    <t>100.511.4271.35</t>
  </si>
  <si>
    <t>100.511.4201.35</t>
  </si>
  <si>
    <t>100.511.4203.35</t>
  </si>
  <si>
    <t>100.511.4205.35</t>
  </si>
  <si>
    <t>100.511.4281.35</t>
  </si>
  <si>
    <t>100.511.4311.35</t>
  </si>
  <si>
    <t>100.451.4272.15</t>
  </si>
  <si>
    <t>100.499.4272.30</t>
  </si>
  <si>
    <t>100.451.4117.15</t>
  </si>
  <si>
    <t>100.631.4155.55</t>
  </si>
  <si>
    <t>100.641.4117.55</t>
  </si>
  <si>
    <t>330.695.4203.15</t>
  </si>
  <si>
    <t>140.610.4450.10</t>
  </si>
  <si>
    <t>100.401.4117.10</t>
  </si>
  <si>
    <t>100.565.4151.45</t>
  </si>
  <si>
    <t>100.565.4118.45</t>
  </si>
  <si>
    <t>100.565.4155.45</t>
  </si>
  <si>
    <t>100.565.4165.45</t>
  </si>
  <si>
    <t>100.565.4201.45</t>
  </si>
  <si>
    <t>100.565.4203.45</t>
  </si>
  <si>
    <t>100.565.4205.45</t>
  </si>
  <si>
    <t>100.565.4281.45</t>
  </si>
  <si>
    <t>100.565.4311.45</t>
  </si>
  <si>
    <t>100.565.4321.45</t>
  </si>
  <si>
    <t>100.565.4334.45</t>
  </si>
  <si>
    <t>100.565.4336.45</t>
  </si>
  <si>
    <t>100.565.4396.45</t>
  </si>
  <si>
    <t>100.565.4459.45</t>
  </si>
  <si>
    <t>100.565.4572.45</t>
  </si>
  <si>
    <t>100.565.4485.45</t>
  </si>
  <si>
    <t>100.565.4783.45</t>
  </si>
  <si>
    <t>100.566</t>
  </si>
  <si>
    <t>100.566.4102.30</t>
  </si>
  <si>
    <t>100.566.4111.30</t>
  </si>
  <si>
    <t>100.566.4155.30</t>
  </si>
  <si>
    <t>100.566.4201.30</t>
  </si>
  <si>
    <t>100.543.4271.45</t>
  </si>
  <si>
    <t>100.566.4203.30</t>
  </si>
  <si>
    <t>100.566.4205.30</t>
  </si>
  <si>
    <t>PERCENTAGE</t>
  </si>
  <si>
    <t>REVENUES</t>
  </si>
  <si>
    <t xml:space="preserve">GENERAL FUND </t>
  </si>
  <si>
    <t>TOTAL</t>
  </si>
  <si>
    <t>Budgeted revenues reflect a projected  98% collection rate.</t>
  </si>
  <si>
    <t>CASH</t>
  </si>
  <si>
    <t>INVESTMENTS</t>
  </si>
  <si>
    <t>490.935.4551.55</t>
  </si>
  <si>
    <t>490.935.4552.55</t>
  </si>
  <si>
    <t>490.935.4553.55</t>
  </si>
  <si>
    <t>JUVENILE GRANT (FUND 460)</t>
  </si>
  <si>
    <t>460.576.4141.45</t>
  </si>
  <si>
    <t>460.576.4109.45</t>
  </si>
  <si>
    <t>460.576.4201.45</t>
  </si>
  <si>
    <t>460.576.4203.45</t>
  </si>
  <si>
    <t>460.576.4205.45</t>
  </si>
  <si>
    <t>460.576.4311.45</t>
  </si>
  <si>
    <t>460.576.4429.45</t>
  </si>
  <si>
    <t>460.576.4572.45</t>
  </si>
  <si>
    <t>460.578</t>
  </si>
  <si>
    <t>460.578.4142.45</t>
  </si>
  <si>
    <t>100.409.4482.10</t>
  </si>
  <si>
    <t>100.409.4492.10</t>
  </si>
  <si>
    <t>100.641.4578.55</t>
  </si>
  <si>
    <t>450.570.4457.45</t>
  </si>
  <si>
    <t>TRANSFERS IN/(OUT)</t>
  </si>
  <si>
    <t xml:space="preserve"> ALL FUND BALANCE RECAP</t>
  </si>
  <si>
    <t>100.511.4332.35</t>
  </si>
  <si>
    <t>100.511.4421.35</t>
  </si>
  <si>
    <t>100.511.4441.35</t>
  </si>
  <si>
    <t>100.511.4458.35</t>
  </si>
  <si>
    <t>100.511.4429.35</t>
  </si>
  <si>
    <t>100.511.4459.35</t>
  </si>
  <si>
    <t>100.511.4572.35</t>
  </si>
  <si>
    <t>100.543</t>
  </si>
  <si>
    <t>100.543.4102.45</t>
  </si>
  <si>
    <t>100.543.4110.45</t>
  </si>
  <si>
    <t>100.543.4111.45</t>
  </si>
  <si>
    <t>100.543.4155.45</t>
  </si>
  <si>
    <t>100.543.4165.45</t>
  </si>
  <si>
    <t>100.543.4201.45</t>
  </si>
  <si>
    <t>100.543.4203.45</t>
  </si>
  <si>
    <t>100.543.4205.45</t>
  </si>
  <si>
    <t xml:space="preserve">     INTEREST &amp; SINKING</t>
  </si>
  <si>
    <t xml:space="preserve">     PERMANENT IMPROVEMENT</t>
  </si>
  <si>
    <t>CAPITAL IMPROVEMENT PROJECTS</t>
  </si>
  <si>
    <t>450.310.3101.00</t>
  </si>
  <si>
    <t>450.310.3105.00</t>
  </si>
  <si>
    <t>450.330.3385.00</t>
  </si>
  <si>
    <t>450.340.3471.00</t>
  </si>
  <si>
    <t>450.340.3711.00</t>
  </si>
  <si>
    <t>450.360.3601.00</t>
  </si>
  <si>
    <t>450.360.3645.00</t>
  </si>
  <si>
    <t>450.360.3727.00</t>
  </si>
  <si>
    <t>450.360.3899.00</t>
  </si>
  <si>
    <t>460.330.3371.00</t>
  </si>
  <si>
    <t>460.330.3373.00</t>
  </si>
  <si>
    <t>460.330.3376.00</t>
  </si>
  <si>
    <t>460.330.3361.00</t>
  </si>
  <si>
    <t>460.330.3390.00</t>
  </si>
  <si>
    <t>JUVENILE STATE AID - GRANT "N"</t>
  </si>
  <si>
    <t>460.690.4201.45</t>
  </si>
  <si>
    <t>460.690.4203.45</t>
  </si>
  <si>
    <t>460.690.4205.45</t>
  </si>
  <si>
    <t>460.690.4311.45</t>
  </si>
  <si>
    <t>460.690.4429.45</t>
  </si>
  <si>
    <t>460.574</t>
  </si>
  <si>
    <t>460.574.4109.45</t>
  </si>
  <si>
    <t>JUSTICE OF THE PEACE PCT. #4</t>
  </si>
  <si>
    <t>100.407.4203.25</t>
  </si>
  <si>
    <t>100.407.4205.25</t>
  </si>
  <si>
    <t>100.407.4311.25</t>
  </si>
  <si>
    <t>100.407.4321.25</t>
  </si>
  <si>
    <t>100.407.4341.25</t>
  </si>
  <si>
    <t>100.407.4421.25</t>
  </si>
  <si>
    <t>100.407.4429.25</t>
  </si>
  <si>
    <t>100.407.4481.25</t>
  </si>
  <si>
    <t>100.407.4488.25</t>
  </si>
  <si>
    <t>100.407.4572.25</t>
  </si>
  <si>
    <t>100.407.4578.25</t>
  </si>
  <si>
    <t>100.409</t>
  </si>
  <si>
    <t>100.409.4205.10</t>
  </si>
  <si>
    <t>100.409.4206.10</t>
  </si>
  <si>
    <t>100.409.4207.10</t>
  </si>
  <si>
    <t>100.409.4208.10</t>
  </si>
  <si>
    <t>100.409.4321.10</t>
  </si>
  <si>
    <t>100.409.4332.10</t>
  </si>
  <si>
    <t>CASE MANAGER (FUND 330)</t>
  </si>
  <si>
    <t>330.695.4117.15</t>
  </si>
  <si>
    <t>330.695.4201.15</t>
  </si>
  <si>
    <t>330.695.4271.15</t>
  </si>
  <si>
    <t>330.695.4311.15</t>
  </si>
  <si>
    <t>100.543.4724.45</t>
  </si>
  <si>
    <t>100.543.4726.45</t>
  </si>
  <si>
    <t>100.543.4727.45</t>
  </si>
  <si>
    <t>100.543.4729.45</t>
  </si>
  <si>
    <t>100.543.4731.45</t>
  </si>
  <si>
    <t xml:space="preserve">     ENERGY SAVINGS PERF.CONTRACT</t>
  </si>
  <si>
    <t>SUB-CRTHSE SECURITY (FUND 551)</t>
  </si>
  <si>
    <t>SUB-CRTHSE SECURITY ( FUND 551)</t>
  </si>
  <si>
    <t>570.451.4443.00</t>
  </si>
  <si>
    <t>740.321.3715.00</t>
  </si>
  <si>
    <t>740.360.3601.00</t>
  </si>
  <si>
    <t>750.310.3101.00</t>
  </si>
  <si>
    <t>750.310.3105.00</t>
  </si>
  <si>
    <t>750.360.3601.00</t>
  </si>
  <si>
    <t>890.330.3206.00</t>
  </si>
  <si>
    <t>890.340.3418.00</t>
  </si>
  <si>
    <t>890.340.3645.00</t>
  </si>
  <si>
    <t>890.350.3645.00</t>
  </si>
  <si>
    <t>890.350.3514.00</t>
  </si>
  <si>
    <t>890.360.3601.00</t>
  </si>
  <si>
    <t>610.310.3101.00</t>
  </si>
  <si>
    <t>610.310.3105.00</t>
  </si>
  <si>
    <t>610.360.3601.00</t>
  </si>
  <si>
    <t>700.310.3101.00</t>
  </si>
  <si>
    <t>700.310.3105.00</t>
  </si>
  <si>
    <t>700.360.3601.00</t>
  </si>
  <si>
    <t>710.310.3101.00</t>
  </si>
  <si>
    <t>710.310.3105.00</t>
  </si>
  <si>
    <t>710.360.3601.00</t>
  </si>
  <si>
    <t>720.310.3101.00</t>
  </si>
  <si>
    <t>720.310.3105.00</t>
  </si>
  <si>
    <t>720.330.3911.00</t>
  </si>
  <si>
    <t>720.360.3601.00</t>
  </si>
  <si>
    <t>730.310.3101.00</t>
  </si>
  <si>
    <t>730.310.3105.00</t>
  </si>
  <si>
    <t>730.330.3911.00</t>
  </si>
  <si>
    <t>730.330.3912.00</t>
  </si>
  <si>
    <t>730.360.3601.00</t>
  </si>
  <si>
    <t>1-2</t>
  </si>
  <si>
    <t>ON-SITE SEWAGE FACILITY</t>
  </si>
  <si>
    <t>ELECTION CONTRACTS FUND</t>
  </si>
  <si>
    <t>ROAD DAMAGE FUND</t>
  </si>
  <si>
    <t>CONSTABLES TRAINING/FORF FUND</t>
  </si>
  <si>
    <t>CASE MANAGER FUND</t>
  </si>
  <si>
    <t>RECORDS ARCHIVES FUND (511)</t>
  </si>
  <si>
    <t>VITAL ARCHIVES FUND (512)</t>
  </si>
  <si>
    <t>100.554.4457.45</t>
  </si>
  <si>
    <t>100.554.4481.45</t>
  </si>
  <si>
    <t>100.554.4575.45</t>
  </si>
  <si>
    <t>100.554.4572.45</t>
  </si>
  <si>
    <t>100.561</t>
  </si>
  <si>
    <t>100.561.4101.45</t>
  </si>
  <si>
    <t>100.561.4104.45</t>
  </si>
  <si>
    <t>100.561.4111.45</t>
  </si>
  <si>
    <t>100.561.4118.45</t>
  </si>
  <si>
    <t>100.561.4165.45</t>
  </si>
  <si>
    <t>100.561.4155.45</t>
  </si>
  <si>
    <t>100.561.4201.45</t>
  </si>
  <si>
    <t>100.561.4203.45</t>
  </si>
  <si>
    <t>100.561.4205.45</t>
  </si>
  <si>
    <t>100.561.4282.45</t>
  </si>
  <si>
    <t>100.561.4281.45</t>
  </si>
  <si>
    <t>100.403.4117.10</t>
  </si>
  <si>
    <t>100.511.4117.35</t>
  </si>
  <si>
    <t>100.561.4153.45</t>
  </si>
  <si>
    <t>140.610.4117.10</t>
  </si>
  <si>
    <t>100.561.4311.45</t>
  </si>
  <si>
    <t>100.561.4321.45</t>
  </si>
  <si>
    <t>100.561.4335.45</t>
  </si>
  <si>
    <t>100.561.4355.45</t>
  </si>
  <si>
    <t>100.561.4396.45</t>
  </si>
  <si>
    <t>100.561.4397.45</t>
  </si>
  <si>
    <t>100.561.4417.45</t>
  </si>
  <si>
    <t>100.561.4421.45</t>
  </si>
  <si>
    <t>100.561.4426.45</t>
  </si>
  <si>
    <t>100.561.4429.45</t>
  </si>
  <si>
    <t>100.561.4457.45</t>
  </si>
  <si>
    <t>100.561.4461.45</t>
  </si>
  <si>
    <t>100.561.4481.45</t>
  </si>
  <si>
    <t>100.561.4499.45</t>
  </si>
  <si>
    <t>100.561.4572.45</t>
  </si>
  <si>
    <t>100.561.4575.45</t>
  </si>
  <si>
    <t>100.561.4583.45</t>
  </si>
  <si>
    <t>100.565</t>
  </si>
  <si>
    <t>LEGAL EXPENSE (471)</t>
  </si>
  <si>
    <t>100.409.4204.10</t>
  </si>
  <si>
    <t>COUNTY AUDITOR (495)</t>
  </si>
  <si>
    <t>HUMAN RESOURCES (496)</t>
  </si>
  <si>
    <t>COUNTY TREASURER (497)</t>
  </si>
  <si>
    <t>TAX COLLECTOR (499)</t>
  </si>
  <si>
    <t>PURCHASING (501)</t>
  </si>
  <si>
    <t>BUILDING MAINTENANCE (511)</t>
  </si>
  <si>
    <t>FIRE MARSHAL (543)</t>
  </si>
  <si>
    <t>120.695.4410.15</t>
  </si>
  <si>
    <t>120.695.4499.15</t>
  </si>
  <si>
    <t>100.552.4421.45</t>
  </si>
  <si>
    <t>100.552.4355.45</t>
  </si>
  <si>
    <t>100.552.4429.45</t>
  </si>
  <si>
    <t>100.552.4457.45</t>
  </si>
  <si>
    <t>100.552.4481.45</t>
  </si>
  <si>
    <t>100.552.4572.45</t>
  </si>
  <si>
    <t>100.552.4575.45</t>
  </si>
  <si>
    <t>100.553</t>
  </si>
  <si>
    <t>100.553.4101.45</t>
  </si>
  <si>
    <t>100.553.4155.45</t>
  </si>
  <si>
    <t>100.553.4165.45</t>
  </si>
  <si>
    <t>100.553.4201.45</t>
  </si>
  <si>
    <t>100.553.4203.45</t>
  </si>
  <si>
    <t>100.553.4205.45</t>
  </si>
  <si>
    <t>100.553.4281.45</t>
  </si>
  <si>
    <t>100.553.4311.45</t>
  </si>
  <si>
    <t>100.553.4421.45</t>
  </si>
  <si>
    <t>100.553.4355.45</t>
  </si>
  <si>
    <t>100.553.4429.45</t>
  </si>
  <si>
    <t>100.553.4457.45</t>
  </si>
  <si>
    <t>100.553.4481.45</t>
  </si>
  <si>
    <t>100.553.4572.45</t>
  </si>
  <si>
    <t>100.554</t>
  </si>
  <si>
    <t>100.554.4101.45</t>
  </si>
  <si>
    <t>100.554.4155.45</t>
  </si>
  <si>
    <t>100.554.4165.45</t>
  </si>
  <si>
    <t>100.554.4201.45</t>
  </si>
  <si>
    <t>100.554.4203.45</t>
  </si>
  <si>
    <t>100.409.4420.10</t>
  </si>
  <si>
    <t>100.409.4784.10</t>
  </si>
  <si>
    <t>100.495.4272.30</t>
  </si>
  <si>
    <t>100.511.4548.35</t>
  </si>
  <si>
    <t>100.511.4694.90</t>
  </si>
  <si>
    <t>100.511.4695.95</t>
  </si>
  <si>
    <t>100.561.4581.45</t>
  </si>
  <si>
    <t>100.564.4119.45</t>
  </si>
  <si>
    <t>100.565.4456.45</t>
  </si>
  <si>
    <t>100.661.4779.65</t>
  </si>
  <si>
    <t>MISCELLANEOUS (695)</t>
  </si>
  <si>
    <t>TOTAL DISBURSEMENTS</t>
  </si>
  <si>
    <t xml:space="preserve">HARRISON COUNTY </t>
  </si>
  <si>
    <t>BUDGET SUMMARY</t>
  </si>
  <si>
    <t>ESTIMATED BALANCE BEGINNING OF YEAR</t>
  </si>
  <si>
    <t>TOTAL ESTIMATED RECEIPTS</t>
  </si>
  <si>
    <t>TOTAL ESTIMATED DISBURSEMENTS</t>
  </si>
  <si>
    <t>TOTAL ESTIMATED TRANSFERS IN/(OUT)</t>
  </si>
  <si>
    <t>ESTIMATED BALANCE END OF YEAR</t>
  </si>
  <si>
    <t xml:space="preserve">    </t>
  </si>
  <si>
    <t>100.401</t>
  </si>
  <si>
    <t>100.401.4101.10</t>
  </si>
  <si>
    <t>100.401.4103.10</t>
  </si>
  <si>
    <t>JUSTICE OF THE PEACE PCT. #3</t>
  </si>
  <si>
    <t>CONSTABLE PCT. #1</t>
  </si>
  <si>
    <t>CONSTABLE PCT. #2</t>
  </si>
  <si>
    <t>CONSTABLE PCT. #3</t>
  </si>
  <si>
    <t>CONSTABLE PCT. #4</t>
  </si>
  <si>
    <t>SHERIFF</t>
  </si>
  <si>
    <t>100.551.4155.45</t>
  </si>
  <si>
    <t>100.551.4101.45</t>
  </si>
  <si>
    <t>240.340.3451.00</t>
  </si>
  <si>
    <t>240.360.3601.00</t>
  </si>
  <si>
    <t>240.360.3646.00</t>
  </si>
  <si>
    <t>240.360.3651.00</t>
  </si>
  <si>
    <t>240.360.3899.00</t>
  </si>
  <si>
    <t>260.360.3602.00</t>
  </si>
  <si>
    <t>260.360.3601.00</t>
  </si>
  <si>
    <t>300.340.3460.00</t>
  </si>
  <si>
    <t>300.360.3601.00</t>
  </si>
  <si>
    <t>330.349.3461.00</t>
  </si>
  <si>
    <t>330.360.3601.00</t>
  </si>
  <si>
    <t>410.340.3413.00</t>
  </si>
  <si>
    <t>410.340.3416.00</t>
  </si>
  <si>
    <t>410.360.3601.00</t>
  </si>
  <si>
    <t>410.360.3899.00</t>
  </si>
  <si>
    <t>470.572.4457.45</t>
  </si>
  <si>
    <t>100.565.4421.45</t>
  </si>
  <si>
    <t>550.520.4117.45</t>
  </si>
  <si>
    <t>BUDGETED
TOTAL</t>
  </si>
  <si>
    <t>490.752.4551.55</t>
  </si>
  <si>
    <t>490.752.4552.55</t>
  </si>
  <si>
    <t>490.752.4553.55</t>
  </si>
  <si>
    <t>490.925</t>
  </si>
  <si>
    <t>KARNACK WATER SUPPLY 2</t>
  </si>
  <si>
    <t>490.925.4551.55</t>
  </si>
  <si>
    <t>490.925.4552.55</t>
  </si>
  <si>
    <t>490.925.4553.55</t>
  </si>
  <si>
    <t>100.310.3101.00</t>
  </si>
  <si>
    <t>100.310.3105.00</t>
  </si>
  <si>
    <t>100.320.3211.00</t>
  </si>
  <si>
    <t>100.320.3215.00</t>
  </si>
  <si>
    <t>100.320.3216.00</t>
  </si>
  <si>
    <t>100.320.3210.00</t>
  </si>
  <si>
    <t>100.340.3410.00</t>
  </si>
  <si>
    <t>100.340.3411.00</t>
  </si>
  <si>
    <t>100.340.3412.00</t>
  </si>
  <si>
    <t>100.340.3413.00</t>
  </si>
  <si>
    <t>100.340.3414.00</t>
  </si>
  <si>
    <t>100.340.3415.00</t>
  </si>
  <si>
    <t>100.340.3416.00</t>
  </si>
  <si>
    <t>100.340.3417.00</t>
  </si>
  <si>
    <t>100.340.3419.00</t>
  </si>
  <si>
    <t>100.340.3421.00</t>
  </si>
  <si>
    <t>100.340.3422.00</t>
  </si>
  <si>
    <t>100.340.3423.00</t>
  </si>
  <si>
    <t>100.340.3424.00</t>
  </si>
  <si>
    <t>100.340.3431.00</t>
  </si>
  <si>
    <t>100.340.3438.00</t>
  </si>
  <si>
    <t>100.340.3433.00</t>
  </si>
  <si>
    <t>100.340.3435.00</t>
  </si>
  <si>
    <t>100.340.3491.00</t>
  </si>
  <si>
    <t>100.340.3492.00</t>
  </si>
  <si>
    <t>100.340.3493.00</t>
  </si>
  <si>
    <t>100.409.4493.10</t>
  </si>
  <si>
    <t>100.409.4494.10</t>
  </si>
  <si>
    <t>100.409.4572.10</t>
  </si>
  <si>
    <t>100.409.4578.10</t>
  </si>
  <si>
    <t>100.409.4579.10</t>
  </si>
  <si>
    <t>100.409.4580.10</t>
  </si>
  <si>
    <t>100.409.4781.10</t>
  </si>
  <si>
    <t>100.426</t>
  </si>
  <si>
    <t>100.426.4101.15</t>
  </si>
  <si>
    <t>100.426.4114.15</t>
  </si>
  <si>
    <t>100.426.4117.15</t>
  </si>
  <si>
    <t xml:space="preserve">     CURRENT TAXES</t>
  </si>
  <si>
    <t xml:space="preserve">     DELINQUENT TAXES</t>
  </si>
  <si>
    <t>ESTIMATED DISBURSEMENTS</t>
  </si>
  <si>
    <t>100.496.4315.10</t>
  </si>
  <si>
    <t>410.695.4436.15</t>
  </si>
  <si>
    <t>490.567.4573.45</t>
  </si>
  <si>
    <t xml:space="preserve"> ADMINISTRATION-R&amp;B (610)</t>
  </si>
  <si>
    <r>
      <t xml:space="preserve">     </t>
    </r>
    <r>
      <rPr>
        <sz val="10"/>
        <rFont val="Arial"/>
        <family val="2"/>
      </rPr>
      <t>CURRENT TAXES</t>
    </r>
  </si>
  <si>
    <t xml:space="preserve"> </t>
  </si>
  <si>
    <t xml:space="preserve">        </t>
  </si>
  <si>
    <t>To the Citizens of Harrison County:</t>
  </si>
  <si>
    <t>100.581.4583.45</t>
  </si>
  <si>
    <t>100.349.3433.00</t>
  </si>
  <si>
    <t>100.341.3435.00</t>
  </si>
  <si>
    <t>100.342.3435.00</t>
  </si>
  <si>
    <t>100.343.3435.00</t>
  </si>
  <si>
    <t>100.349.3435.00</t>
  </si>
  <si>
    <t>100.360.3601.00</t>
  </si>
  <si>
    <t>100.360.3645.00</t>
  </si>
  <si>
    <t>100.360.3651.00</t>
  </si>
  <si>
    <t>100.360.3720.00</t>
  </si>
  <si>
    <t>100.360.3721.00</t>
  </si>
  <si>
    <t>100.360.3899.00</t>
  </si>
  <si>
    <t>110.310.3101.00</t>
  </si>
  <si>
    <t>110.310.3105.00</t>
  </si>
  <si>
    <t>110.330.3704.00</t>
  </si>
  <si>
    <t>110.340.3489.00</t>
  </si>
  <si>
    <t>110.360.3601.00</t>
  </si>
  <si>
    <t>110.360.3899.00</t>
  </si>
  <si>
    <t>120.320.3216.00</t>
  </si>
  <si>
    <t>120.360.3601.00</t>
  </si>
  <si>
    <t>140.310.3101.00</t>
  </si>
  <si>
    <t>140.310.3105.00</t>
  </si>
  <si>
    <t>140.320.3214.00</t>
  </si>
  <si>
    <t>140.320.3217.00</t>
  </si>
  <si>
    <t>140.320.3218.00</t>
  </si>
  <si>
    <t>140.320.3220.00</t>
  </si>
  <si>
    <t>140.330.3331.00</t>
  </si>
  <si>
    <t>140.330.3393.00</t>
  </si>
  <si>
    <t>140.330.3391.00</t>
  </si>
  <si>
    <t>140.350.3431.00</t>
  </si>
  <si>
    <t>140.350.3438.00</t>
  </si>
  <si>
    <t>140.350.3433.00</t>
  </si>
  <si>
    <t>140.350.3435.00</t>
  </si>
  <si>
    <t>140.350.3512.00</t>
  </si>
  <si>
    <t>140.350.3511.00</t>
  </si>
  <si>
    <t>140.350.3513.00</t>
  </si>
  <si>
    <t>140.360.3601.00</t>
  </si>
  <si>
    <t>140.360.3727.00</t>
  </si>
  <si>
    <t>140.360.3899.00</t>
  </si>
  <si>
    <t>140.360.3645.00</t>
  </si>
  <si>
    <t>145.360.3647.00</t>
  </si>
  <si>
    <t>180.360.3601.00</t>
  </si>
  <si>
    <t>490.750.4551.55</t>
  </si>
  <si>
    <t>490.750.4552.55</t>
  </si>
  <si>
    <t>490.750.4553.55</t>
  </si>
  <si>
    <t>ADMINISTRATION</t>
  </si>
  <si>
    <t>ENGINEERING</t>
  </si>
  <si>
    <t>CONSTRUCTION</t>
  </si>
  <si>
    <t>490.750</t>
  </si>
  <si>
    <t>490.751</t>
  </si>
  <si>
    <t>490.751.4551.55</t>
  </si>
  <si>
    <t>490.751.4552.55</t>
  </si>
  <si>
    <t>490.751.4553.55</t>
  </si>
  <si>
    <t>490.752</t>
  </si>
  <si>
    <t>100.564.4441.45</t>
  </si>
  <si>
    <t>100.565.4441.45</t>
  </si>
  <si>
    <t>490.708</t>
  </si>
  <si>
    <t xml:space="preserve">     EDWARD BYRNE MEMORIAL</t>
  </si>
  <si>
    <t>490.708.4572.45</t>
  </si>
  <si>
    <t>490.722.4105.20</t>
  </si>
  <si>
    <t>490.722.4311.20</t>
  </si>
  <si>
    <t>490.722</t>
  </si>
  <si>
    <t>490.707</t>
  </si>
  <si>
    <t>490.707.4154.45</t>
  </si>
  <si>
    <t>490.707.4427.45</t>
  </si>
  <si>
    <t>490.568</t>
  </si>
  <si>
    <t>490.568.4153.45</t>
  </si>
  <si>
    <t>490.568.4155.45</t>
  </si>
  <si>
    <t>490.568.4201.45</t>
  </si>
  <si>
    <t>490.568.4203.45</t>
  </si>
  <si>
    <t>490.568.4205.45</t>
  </si>
  <si>
    <t>490.700</t>
  </si>
  <si>
    <t>490.700.4154.45</t>
  </si>
  <si>
    <t>490.700.4201.45</t>
  </si>
  <si>
    <t>490.700.4203.45</t>
  </si>
  <si>
    <t>490.700.4429.45</t>
  </si>
  <si>
    <t>490.700.4311.45</t>
  </si>
  <si>
    <t>490.700.4572.45</t>
  </si>
  <si>
    <t>490.701</t>
  </si>
  <si>
    <t>490.701.4154.55</t>
  </si>
  <si>
    <t>490.701.4201.55</t>
  </si>
  <si>
    <t>490.701.4203.55</t>
  </si>
  <si>
    <t>490.701.4429.55</t>
  </si>
  <si>
    <t>COMMUNITY CORRECTIONS ASSIST (690)</t>
  </si>
  <si>
    <t>100.426.4131.15</t>
  </si>
  <si>
    <t>100.426.4155.15</t>
  </si>
  <si>
    <t>110.695.4478.15</t>
  </si>
  <si>
    <t>140.320.3219.00</t>
  </si>
  <si>
    <t>145.360.3601.00</t>
  </si>
  <si>
    <t>240.330.3641.00</t>
  </si>
  <si>
    <t>260.340.3414.00</t>
  </si>
  <si>
    <t>300.695.4429.10</t>
  </si>
  <si>
    <t>450.570.4575.45</t>
  </si>
  <si>
    <t>450.570.4402.45</t>
  </si>
  <si>
    <t>450.570.4570.45</t>
  </si>
  <si>
    <t>460.576.4155.45</t>
  </si>
  <si>
    <t>490.330.3743.00</t>
  </si>
  <si>
    <t>550.520.4793.45</t>
  </si>
  <si>
    <t>INTEREST &amp; SINKING (FUND 610)</t>
  </si>
  <si>
    <t>610.695.4631.90</t>
  </si>
  <si>
    <t>610.695.4632.95</t>
  </si>
  <si>
    <t>610.695.4665.90</t>
  </si>
  <si>
    <t>610.695.4666.95</t>
  </si>
  <si>
    <t>610.695.4681.90</t>
  </si>
  <si>
    <t>610.695.4682.95</t>
  </si>
  <si>
    <t>610.695.4691.90</t>
  </si>
  <si>
    <t>ELEVATOR (FUND 700)</t>
  </si>
  <si>
    <t>700.695.4566.35</t>
  </si>
  <si>
    <t>710.695.4550.10</t>
  </si>
  <si>
    <t>710.695.4557.10</t>
  </si>
  <si>
    <t>710.695.4559.10</t>
  </si>
  <si>
    <t>710.695.4560.10</t>
  </si>
  <si>
    <t>PERMANENT IMPROVEMENT (FUND 710)</t>
  </si>
  <si>
    <t>JAIL CONSTRUCTION (FUND 720)</t>
  </si>
  <si>
    <t>720.532.4554.80</t>
  </si>
  <si>
    <t>720.532.4556.80</t>
  </si>
  <si>
    <t>100.543.4281.45</t>
  </si>
  <si>
    <t xml:space="preserve">     DONATIONS</t>
  </si>
  <si>
    <t xml:space="preserve">  </t>
  </si>
  <si>
    <t>460.695</t>
  </si>
  <si>
    <t>460.695.4147.45</t>
  </si>
  <si>
    <t>470.572.4152.45</t>
  </si>
  <si>
    <t>470.572.4117.45</t>
  </si>
  <si>
    <t>470.572.4155.45</t>
  </si>
  <si>
    <t>470.572.4203.45</t>
  </si>
  <si>
    <t>470.572.4205.45</t>
  </si>
  <si>
    <t>470.572.4311.45</t>
  </si>
  <si>
    <t>470.572.4421.45</t>
  </si>
  <si>
    <t>470.572.4321.45</t>
  </si>
  <si>
    <t>470.572.4429.45</t>
  </si>
  <si>
    <t>470.572.4201.45</t>
  </si>
  <si>
    <t>470.572.4572.45</t>
  </si>
  <si>
    <t>BUILDING MAINTENANCE</t>
  </si>
  <si>
    <t>FIRE MARSHAL</t>
  </si>
  <si>
    <t>CONSTABLE, PCT. 1</t>
  </si>
  <si>
    <t>CONSTABLE, PCT. 2</t>
  </si>
  <si>
    <t>CONSTABLE, PCT. 3</t>
  </si>
  <si>
    <t>CONSTABLE, PCT. 4</t>
  </si>
  <si>
    <t xml:space="preserve">SHERIFF  </t>
  </si>
  <si>
    <t>FINE COLLECTION</t>
  </si>
  <si>
    <t>DEPARTMENT OF PUBLIC SAFETY</t>
  </si>
  <si>
    <t>PUBLIC SAFETY</t>
  </si>
  <si>
    <t>WELFARE</t>
  </si>
  <si>
    <t>CULTURE &amp; RECREATION</t>
  </si>
  <si>
    <t>CONSERVATION</t>
  </si>
  <si>
    <t>EXTENSION AGENTS</t>
  </si>
  <si>
    <t>MISCELLANEOUS</t>
  </si>
  <si>
    <t>100.340.3420.00</t>
  </si>
  <si>
    <t>100.409.4212.10</t>
  </si>
  <si>
    <t>450.340.3475.00</t>
  </si>
  <si>
    <t>450.340.3476.00</t>
  </si>
  <si>
    <t>460.330.3377.00</t>
  </si>
  <si>
    <t>460.577</t>
  </si>
  <si>
    <t>460.577.4412.45</t>
  </si>
  <si>
    <t>JUVENILE ETCOG - EVALUATION SERVICES</t>
  </si>
  <si>
    <t>PSYCHOLOGICAL AND/OR PSYCHIATRIC</t>
  </si>
  <si>
    <t>490.935</t>
  </si>
  <si>
    <t>740.695.4575.30</t>
  </si>
  <si>
    <t>100.454.4418.20</t>
  </si>
  <si>
    <t>740.690.4751.70</t>
  </si>
  <si>
    <t>740.690.4752.70</t>
  </si>
  <si>
    <t>740.690.4757.70</t>
  </si>
  <si>
    <t>740.690.4763.70</t>
  </si>
  <si>
    <t>740.690.4764.70</t>
  </si>
  <si>
    <t>740.690.4767.70</t>
  </si>
  <si>
    <t>740.690.4768.70</t>
  </si>
  <si>
    <t>740.690.4769.70</t>
  </si>
  <si>
    <t>740.690.4774.70</t>
  </si>
  <si>
    <t>740.690.4786.70</t>
  </si>
  <si>
    <t>740.690.4788.70</t>
  </si>
  <si>
    <t>740.690.4789.70</t>
  </si>
  <si>
    <t>740.690.4792.70</t>
  </si>
  <si>
    <t>490.330.3753.00</t>
  </si>
  <si>
    <t>490.703</t>
  </si>
  <si>
    <t>490.703.4154.45</t>
  </si>
  <si>
    <t>PERMANENT SCHOOL (FUND 160)</t>
  </si>
  <si>
    <t>160.360.3601.00</t>
  </si>
  <si>
    <t>160.360.3651.00</t>
  </si>
  <si>
    <t>330.349.3465.00</t>
  </si>
  <si>
    <t>100.631.4272.55</t>
  </si>
  <si>
    <t>140.610.4125.10</t>
  </si>
  <si>
    <t>490.910</t>
  </si>
  <si>
    <t>490.910.4551.55</t>
  </si>
  <si>
    <t>490.910.4552.55</t>
  </si>
  <si>
    <t>490.910.4553.55</t>
  </si>
  <si>
    <t>LEIGH WATER SUPPLY</t>
  </si>
  <si>
    <t>490.330.3971.00</t>
  </si>
  <si>
    <t>610.360.3752.00</t>
  </si>
  <si>
    <t>490.704</t>
  </si>
  <si>
    <t>490.704.4572.45</t>
  </si>
  <si>
    <t>490.330.3754.00</t>
  </si>
  <si>
    <t>490.703.4201.45</t>
  </si>
  <si>
    <t>490.703.4203.45</t>
  </si>
  <si>
    <t>490.703.4205.45</t>
  </si>
  <si>
    <t>BAIL BOND BOARD FUND</t>
  </si>
  <si>
    <t>TAX DISPUTE FUND</t>
  </si>
  <si>
    <t>BAIL BOND SURETY FUND</t>
  </si>
  <si>
    <t>EMERGENCY OPERATION FUND</t>
  </si>
  <si>
    <t>AIRPORT MAINTENANCE FUND</t>
  </si>
  <si>
    <t>JUSTICE TECHNOLOGY FUND</t>
  </si>
  <si>
    <t>STAR BOOTCAMP FUND</t>
  </si>
  <si>
    <t>TITLE IV-E FUND</t>
  </si>
  <si>
    <t>COUNTY CLERK RECORDS MGM FUND (500)</t>
  </si>
  <si>
    <t>COUNTY RECORDS PRESERVATION FUND (510)</t>
  </si>
  <si>
    <t>DISTRICT CLERK RECORDS MGM FUND (513)</t>
  </si>
  <si>
    <t>SECURITY-SUB-COURTHOUSE FUND</t>
  </si>
  <si>
    <t>TOBACCO SETTLEMENT FUND</t>
  </si>
  <si>
    <t>COURTHOUSE MAINTENANCE FUND (750)</t>
  </si>
  <si>
    <t>OFFICIAL'S AGENCY FUND</t>
  </si>
  <si>
    <t>DISTRICT ATTORNEY SPECIAL FUND</t>
  </si>
  <si>
    <t>EMPLOYEE BENEFIT TRUST FUND</t>
  </si>
  <si>
    <t>PERMANENT SCHOOL FUND</t>
  </si>
  <si>
    <t>EMERGENCY OPERATIONS FUND</t>
  </si>
  <si>
    <t>STATE TRAINING FUND</t>
  </si>
  <si>
    <t>SUB-COURHOUSE SECURITYFUND</t>
  </si>
  <si>
    <t>COURT INITIATED GUARDIANSHIP FUND</t>
  </si>
  <si>
    <t>SIXTH COURT OF APPEALS FUND</t>
  </si>
  <si>
    <t>COURTHOUSE MAINTENANCE FUND</t>
  </si>
  <si>
    <t>100.401.4122.10</t>
  </si>
  <si>
    <t>Adopting Eff Rate</t>
  </si>
  <si>
    <t>460.576.4401.45</t>
  </si>
  <si>
    <t>100.409.4424.10</t>
  </si>
  <si>
    <t>100.409.4585.10</t>
  </si>
  <si>
    <t>Tax Rate</t>
  </si>
  <si>
    <t>750.365.3723.00</t>
  </si>
  <si>
    <t>ZEPHANIAH TIMMINS</t>
  </si>
  <si>
    <t>JAY EBARB</t>
  </si>
  <si>
    <t>JOE BLACK</t>
  </si>
  <si>
    <t>SHERRY GRIFFIS</t>
  </si>
  <si>
    <t>VERONICA KING</t>
  </si>
  <si>
    <t>100.340.3487.00</t>
  </si>
  <si>
    <t>100.501.4117.30</t>
  </si>
  <si>
    <t>240.365.3723.00</t>
  </si>
  <si>
    <t>240.695.4399.40</t>
  </si>
  <si>
    <t>610.695.4669.90</t>
  </si>
  <si>
    <t>610.695.4670.95</t>
  </si>
  <si>
    <t>100.405.4572.10</t>
  </si>
  <si>
    <t>100.552.4455.45</t>
  </si>
  <si>
    <t>100.553.4455.45</t>
  </si>
  <si>
    <t>100.583.4756.45</t>
  </si>
  <si>
    <t>610.695.4673.90</t>
  </si>
  <si>
    <t>610.695.4674.95</t>
  </si>
  <si>
    <t>300.695.4568.10</t>
  </si>
  <si>
    <t>710.695.4569.10</t>
  </si>
  <si>
    <t>DISTRICT COURT RECORDS TECHNOLOGY (FUND 310)</t>
  </si>
  <si>
    <t>COUNTY &amp; DISTRICT COURT TECHNOLOGY (FUND 320)</t>
  </si>
  <si>
    <t>320.349.3447.00</t>
  </si>
  <si>
    <t>100.340.3499.00</t>
  </si>
  <si>
    <t>100.330.3204.00</t>
  </si>
  <si>
    <t>460.576.4570.45</t>
  </si>
  <si>
    <t>DISTRICT COURT RECORDS TECHNOLOGY FUND</t>
  </si>
  <si>
    <t>COUNTY &amp; DISTRICT COURT TECHNOLOGY FUND</t>
  </si>
  <si>
    <t>460.576.4791.45</t>
  </si>
  <si>
    <t>460.576.4313.45</t>
  </si>
  <si>
    <t>460.576.4332.45</t>
  </si>
  <si>
    <t>140.620.4578.40</t>
  </si>
  <si>
    <t>240.695.4458.40</t>
  </si>
  <si>
    <t>460.576.4783.45</t>
  </si>
  <si>
    <t>460.576.4785.45</t>
  </si>
  <si>
    <t>110.360.3631.00</t>
  </si>
  <si>
    <t>160.695.4469.10</t>
  </si>
  <si>
    <t>160.695.4470.10</t>
  </si>
  <si>
    <t>270.340.3457.00</t>
  </si>
  <si>
    <t>HARRISON COUNTY YOUTH ENRICHMENT (FUND 270)</t>
  </si>
  <si>
    <t>490.330.3755.00</t>
  </si>
  <si>
    <t>490.330.3756.00</t>
  </si>
  <si>
    <t xml:space="preserve">     2014 SHSP GRANT</t>
  </si>
  <si>
    <t>490.330.3757.00</t>
  </si>
  <si>
    <t xml:space="preserve">     2014 SHSP-LETPA GRANT</t>
  </si>
  <si>
    <t>490.719</t>
  </si>
  <si>
    <t>490.719.4572.45</t>
  </si>
  <si>
    <t>490.723</t>
  </si>
  <si>
    <t>490.723.4572.45</t>
  </si>
  <si>
    <t xml:space="preserve">      2014 SHSP GRANT</t>
  </si>
  <si>
    <t>490.724</t>
  </si>
  <si>
    <t>490.724.4572.45</t>
  </si>
  <si>
    <t xml:space="preserve">      2014 SHSP-LETPA GRANT</t>
  </si>
  <si>
    <t>570.360.3601.00</t>
  </si>
  <si>
    <t>HARRISON COUNTY YOUTH ENRICHMENT FUND</t>
  </si>
  <si>
    <t>100.340.3486.00</t>
  </si>
  <si>
    <t>100.360.3752.00</t>
  </si>
  <si>
    <t>100.497.4272.30</t>
  </si>
  <si>
    <t>450.570.4446.45</t>
  </si>
  <si>
    <t>460.575</t>
  </si>
  <si>
    <t>JUVENILE STATE AID - GRANT "R"</t>
  </si>
  <si>
    <t>460.330.3379.00</t>
  </si>
  <si>
    <t>CAPITAL MURDER FUND</t>
  </si>
  <si>
    <t>CAPITAL MURDER FUND (280)</t>
  </si>
  <si>
    <t>280.310.3101.00</t>
  </si>
  <si>
    <t>280.310.3105.00</t>
  </si>
  <si>
    <t>280.471.4492.20</t>
  </si>
  <si>
    <t xml:space="preserve">     CAPITAL MURDER </t>
  </si>
  <si>
    <t>OPEB TRUST FUND</t>
  </si>
  <si>
    <t>270.695.4757.70</t>
  </si>
  <si>
    <t>270.695.4763.70</t>
  </si>
  <si>
    <t>270.695.4764.70</t>
  </si>
  <si>
    <t>270.695.4767.70</t>
  </si>
  <si>
    <t>270.695.4786.70</t>
  </si>
  <si>
    <t>270.695.4788.70</t>
  </si>
  <si>
    <t>270.695.4789.70</t>
  </si>
  <si>
    <t>740.690.4787.70</t>
  </si>
  <si>
    <t>300.695.4432.10</t>
  </si>
  <si>
    <t>140.330.3392.00</t>
  </si>
  <si>
    <t>140.610.4315.10</t>
  </si>
  <si>
    <t>100.435.4165.15</t>
  </si>
  <si>
    <t>460.575.4775.45</t>
  </si>
  <si>
    <t>JOHN HICKEY</t>
  </si>
  <si>
    <t>JIM WEATHERALL</t>
  </si>
  <si>
    <t>DARRYL GRIFFIN</t>
  </si>
  <si>
    <t>180.330.3705.00</t>
  </si>
  <si>
    <t>490.330.3750.00</t>
  </si>
  <si>
    <t>490.726.4572.45</t>
  </si>
  <si>
    <t>610.360.3899.00</t>
  </si>
  <si>
    <t>Becky Haynes, County Auditor</t>
  </si>
  <si>
    <t>Delinquent Tax Allocation</t>
  </si>
  <si>
    <t>450.570.4448.45</t>
  </si>
  <si>
    <t>710.695.4586.10</t>
  </si>
  <si>
    <t>740.695.4479.10</t>
  </si>
  <si>
    <t>270.695.4900.70</t>
  </si>
  <si>
    <t>by the County.</t>
  </si>
  <si>
    <t>iv</t>
  </si>
  <si>
    <t>Lease Payment</t>
  </si>
  <si>
    <t>Interest</t>
  </si>
  <si>
    <t>Total</t>
  </si>
  <si>
    <t>PRINCIPAL</t>
  </si>
  <si>
    <t>INTEREST</t>
  </si>
  <si>
    <t>Original Lease Amount</t>
  </si>
  <si>
    <t>PROTESTED PROPERTY TAX FUND(130)</t>
  </si>
  <si>
    <t>130.310.3101.00</t>
  </si>
  <si>
    <t>130.310.3105.00</t>
  </si>
  <si>
    <t>130.360.3601.00</t>
  </si>
  <si>
    <t>PROTESTED PROPERTY TAX (FUND 130)</t>
  </si>
  <si>
    <t>450.340.3811.00</t>
  </si>
  <si>
    <t>890.340.3550.00</t>
  </si>
  <si>
    <t>PROTESTED PROPERTY TAX FUND</t>
  </si>
  <si>
    <t>140.620.4681.40</t>
  </si>
  <si>
    <t xml:space="preserve">     PROTESTED PROPERTY TAXES</t>
  </si>
  <si>
    <t>Bancorp South</t>
  </si>
  <si>
    <t>Plus Rolling Stock</t>
  </si>
  <si>
    <t>Prior Year Budget</t>
  </si>
  <si>
    <t>100.436.4155.20</t>
  </si>
  <si>
    <t>100.436.4201.20</t>
  </si>
  <si>
    <t>100.436.4203.20</t>
  </si>
  <si>
    <t>100.436.4205.20</t>
  </si>
  <si>
    <t>SCHEDULE OF OPERATING LEASES</t>
  </si>
  <si>
    <t>610.695.4694.90</t>
  </si>
  <si>
    <t>610.695.4695.95</t>
  </si>
  <si>
    <t>270.695.4710.70</t>
  </si>
  <si>
    <t>270.695.4713.70</t>
  </si>
  <si>
    <t>270.695.4714.70</t>
  </si>
  <si>
    <t>270.695.4715.70</t>
  </si>
  <si>
    <t>270.695.4716.70</t>
  </si>
  <si>
    <t>270.695.4717.70</t>
  </si>
  <si>
    <t>740.695.4660.90</t>
  </si>
  <si>
    <t>740.695.4661.95</t>
  </si>
  <si>
    <t>140.620.4682.40</t>
  </si>
  <si>
    <t>100.401.4160.10</t>
  </si>
  <si>
    <t>2018 ACTUAL</t>
  </si>
  <si>
    <t>Chad Sims, County Judge</t>
  </si>
  <si>
    <t>CHAD SIMS</t>
  </si>
  <si>
    <t>REID MCCAIN</t>
  </si>
  <si>
    <t>SHERRY RUSHING</t>
  </si>
  <si>
    <t>100.405.4578.10</t>
  </si>
  <si>
    <t>100.436.4530.20</t>
  </si>
  <si>
    <t>100.551.4575.45</t>
  </si>
  <si>
    <t>100.553.4575.45</t>
  </si>
  <si>
    <t>270.360.3601.00</t>
  </si>
  <si>
    <t>460.575.4776.45</t>
  </si>
  <si>
    <t>490.727</t>
  </si>
  <si>
    <t>890.840</t>
  </si>
  <si>
    <t>DA PRE-TRIAL DIVERSION</t>
  </si>
  <si>
    <t>890.840.4497.20</t>
  </si>
  <si>
    <t>100.409.4505.10</t>
  </si>
  <si>
    <t>100.651.4709.60</t>
  </si>
  <si>
    <t>100.407.4272.25</t>
  </si>
  <si>
    <t>AIRPORT FUND</t>
  </si>
  <si>
    <t>330.695.4429.15</t>
  </si>
  <si>
    <t xml:space="preserve">     AIRPORT</t>
  </si>
  <si>
    <t xml:space="preserve">     SOFTWARE UPDATE - AC</t>
  </si>
  <si>
    <t>The budget includes the General, Jury, Road &amp; Bridge, Airport, Juvenile, Interest &amp; Sinking and</t>
  </si>
  <si>
    <t>Permanent Improvement Funds which receive ad valorem tax revenue, as well as, other funds administered</t>
  </si>
  <si>
    <t>100.551.4282.45</t>
  </si>
  <si>
    <t>100.552.4282.45</t>
  </si>
  <si>
    <t>100.553.4282.45</t>
  </si>
  <si>
    <t>100.554.4282.45</t>
  </si>
  <si>
    <t>100.543.4117.45</t>
  </si>
  <si>
    <t>100.496.4117.10</t>
  </si>
  <si>
    <t>JOHN OSWALT</t>
  </si>
  <si>
    <t>2019 ACTUAL</t>
  </si>
  <si>
    <t>INTERFUNDS TRANSFER</t>
  </si>
  <si>
    <t>100.400.7200.00</t>
  </si>
  <si>
    <t>CURRENT TAXES</t>
  </si>
  <si>
    <t>DELINQUENT TAXES</t>
  </si>
  <si>
    <t>ON SITE SEWAGE PERMITS</t>
  </si>
  <si>
    <t>MIXED DRINK TAX</t>
  </si>
  <si>
    <t xml:space="preserve">LIQUOR &amp; BEER </t>
  </si>
  <si>
    <t>LICENSES &amp; WEIGHTS FEE</t>
  </si>
  <si>
    <t>DISTRICT ATTORNEY SUPPLEMENT</t>
  </si>
  <si>
    <t>LONGEVITY-STATE SUPP DA</t>
  </si>
  <si>
    <t>COUNTY JUDGE SUPPLEMENT</t>
  </si>
  <si>
    <r>
      <t>SAFE</t>
    </r>
    <r>
      <rPr>
        <sz val="10"/>
        <rFont val="Arial"/>
        <family val="2"/>
      </rPr>
      <t xml:space="preserve"> TESTING REIMBURSEMENTS</t>
    </r>
  </si>
  <si>
    <t>CHAPTER 19 FUNDS</t>
  </si>
  <si>
    <t>FEMA</t>
  </si>
  <si>
    <t>DETENTION FEES</t>
  </si>
  <si>
    <t>INDIGENT DEFENSE GRANT</t>
  </si>
  <si>
    <t>U.S. FISH &amp; WILDLIFE</t>
  </si>
  <si>
    <t>FEDERAL PRISONER TRANSPORT FEE</t>
  </si>
  <si>
    <t>COUNTY CLERK GUARDIANSHIPS</t>
  </si>
  <si>
    <t>FAMILY PROTECTION FEE</t>
  </si>
  <si>
    <t>CONSTABLE #1</t>
  </si>
  <si>
    <t>CONSTABLE #2</t>
  </si>
  <si>
    <t>CONSTABLE #3</t>
  </si>
  <si>
    <t>CONSTABLE #4</t>
  </si>
  <si>
    <t>ELECTIONS</t>
  </si>
  <si>
    <t>JUSTICE OF THE PEACE #1</t>
  </si>
  <si>
    <t>JUSTICE OF THE PEACE #3</t>
  </si>
  <si>
    <t>JUSTICE OF THE PEACE #4-1</t>
  </si>
  <si>
    <t>JUSTICE OF THE PEACE #2</t>
  </si>
  <si>
    <t>TRUANCY CIVIL FEE</t>
  </si>
  <si>
    <t>E-FILING FEE</t>
  </si>
  <si>
    <t>TRIAL FEES</t>
  </si>
  <si>
    <t>STENOGRAPHER FEES</t>
  </si>
  <si>
    <t>VIDEO FEES</t>
  </si>
  <si>
    <t>SJFC SUPPORT OF JUDICIARY</t>
  </si>
  <si>
    <t>PROBATE JUDGE'S EDUCATION FEES</t>
  </si>
  <si>
    <t>COURT APPOINTED ATTORNEY FEES</t>
  </si>
  <si>
    <t>ESD/CITY INTER-LOCAL CONTRACTS</t>
  </si>
  <si>
    <t>FINE COLLECTIONS</t>
  </si>
  <si>
    <t>DISMISSAL</t>
  </si>
  <si>
    <t>DDC</t>
  </si>
  <si>
    <t>TRAFFIC</t>
  </si>
  <si>
    <t>CHILD SAFETY</t>
  </si>
  <si>
    <t>SALE OF FIXED ASSETS</t>
  </si>
  <si>
    <t>PROCEEDS FROM SALE OF DELINQUENT</t>
  </si>
  <si>
    <t>OIL &amp; GAS ROYALTIES</t>
  </si>
  <si>
    <t>PRISONER TRANSPORT FEES</t>
  </si>
  <si>
    <t>FACILITY RENTALS</t>
  </si>
  <si>
    <t>INMATE WORK RELEASE</t>
  </si>
  <si>
    <t>INMATE TELEPHONE COMM.</t>
  </si>
  <si>
    <t>LOAN PROCEEDS</t>
  </si>
  <si>
    <t>CITY TELE COIN COMPANY</t>
  </si>
  <si>
    <t>INSURANCE PROCEEDS</t>
  </si>
  <si>
    <t>SUNDRY</t>
  </si>
  <si>
    <t>HISTORIC COURTHOUSE USE FEES</t>
  </si>
  <si>
    <t>LITIGATION RECOVERY</t>
  </si>
  <si>
    <t>DONATIONS</t>
  </si>
  <si>
    <t>INTER-FUND TRANSFER IN</t>
  </si>
  <si>
    <t>INTER-FUND TRANSFER OUT</t>
  </si>
  <si>
    <t>SALARY-OFFICIAL</t>
  </si>
  <si>
    <t>SALARY-ADMIN. ASST.</t>
  </si>
  <si>
    <t>SALARY- SUPPLEMENT</t>
  </si>
  <si>
    <t>SALARY-EXECUTIVE SECRETARY</t>
  </si>
  <si>
    <t>SALARY-PART-TIME</t>
  </si>
  <si>
    <t>LONGEVITY PAY</t>
  </si>
  <si>
    <t>SALARY - SUPPLEMENT</t>
  </si>
  <si>
    <t>SOCIAL SECURITY</t>
  </si>
  <si>
    <t>RETIREMENT</t>
  </si>
  <si>
    <t>GROUP HEALTH INSURANCE</t>
  </si>
  <si>
    <t>TRAVEL ALLOWANCE</t>
  </si>
  <si>
    <t>OFFICE SUPPLIES</t>
  </si>
  <si>
    <t>POSTAGE</t>
  </si>
  <si>
    <t>TELEPHONE/CELL PHONE</t>
  </si>
  <si>
    <t>TRAVEL EXPENSE</t>
  </si>
  <si>
    <t>BOND</t>
  </si>
  <si>
    <t>EQUIPMENT/MAINTENANCE</t>
  </si>
  <si>
    <t>SALARY-DEPUTIES</t>
  </si>
  <si>
    <t>TDSHS BIRTH RECORDS</t>
  </si>
  <si>
    <t>PARTS &amp; REPAIRS</t>
  </si>
  <si>
    <t>SALARY-CLERICAL</t>
  </si>
  <si>
    <t>SALARY-APPOINTED</t>
  </si>
  <si>
    <t>MILEAGE REIMBURSEMENT</t>
  </si>
  <si>
    <t>ELECTION SUPPLIES</t>
  </si>
  <si>
    <t>ELECTION CONTRACTS</t>
  </si>
  <si>
    <t>VOTER LIST</t>
  </si>
  <si>
    <t>ELECTION EXPENSE</t>
  </si>
  <si>
    <t>SOFTWARE/MAINTENANCE</t>
  </si>
  <si>
    <t>HEALTH CLAIMS CONTINGENCY</t>
  </si>
  <si>
    <t>WORKER'S COMP/LIABILITY INS.</t>
  </si>
  <si>
    <t>UNEMPLOYMENT INS.</t>
  </si>
  <si>
    <t>GROUP HEALTH-FIXED COSTS</t>
  </si>
  <si>
    <t>COMPENSATED ABSENCES</t>
  </si>
  <si>
    <t xml:space="preserve">POSTAGE </t>
  </si>
  <si>
    <t>IT - SUPPLIES</t>
  </si>
  <si>
    <t>BANK SERVICE FEES</t>
  </si>
  <si>
    <t>CONSULTANT FEES</t>
  </si>
  <si>
    <t>NEWSPAPER PUBLICATIONS</t>
  </si>
  <si>
    <t>MAINTENANCE CONTRACTS</t>
  </si>
  <si>
    <t>NET PLEA COLLECTION FEES</t>
  </si>
  <si>
    <t>INS-FIRE, LIABILITY &amp; AUTO</t>
  </si>
  <si>
    <t>AUTOMOBILE CLAIMS</t>
  </si>
  <si>
    <t>TAC DUES</t>
  </si>
  <si>
    <t>CO. JUDGE/COMM. DUES</t>
  </si>
  <si>
    <t>ETCOG DUES</t>
  </si>
  <si>
    <t>PRIOR/PROPOSED LEGISLATIVE EXP</t>
  </si>
  <si>
    <t>SOFTWARE SUPPORT</t>
  </si>
  <si>
    <t>CONTINGENCY - EQUIPMENT</t>
  </si>
  <si>
    <t>SOLID WASTE CONTRACT EXPENSE</t>
  </si>
  <si>
    <t>COMMUNICATIONS UPGRADE/BODY CAM</t>
  </si>
  <si>
    <t>AUTOPSIES/OTHER</t>
  </si>
  <si>
    <t>WEBSITE CONSULTING</t>
  </si>
  <si>
    <t>MISCELLANEOUS DONATIONS</t>
  </si>
  <si>
    <t>ECONOMIC DEVELOPMENT</t>
  </si>
  <si>
    <t>NETXEC</t>
  </si>
  <si>
    <t>RMA BOARD FEE</t>
  </si>
  <si>
    <t>I-69 ALLIANCE</t>
  </si>
  <si>
    <t>HARRISON COUNTY CASA</t>
  </si>
  <si>
    <t>COMMUNITY HEALTH CORE</t>
  </si>
  <si>
    <t>CHILDREN'S ADVOCACY-MARTIN HOUSE</t>
  </si>
  <si>
    <t>CHILDREN'S SRV BD FOSTER CHILD CARE</t>
  </si>
  <si>
    <r>
      <t>COMM. HEALTH CORE/</t>
    </r>
    <r>
      <rPr>
        <sz val="10"/>
        <rFont val="Arial"/>
        <family val="2"/>
      </rPr>
      <t>CONTRACT SERVICES</t>
    </r>
  </si>
  <si>
    <t>ETCOG AGING MATCH</t>
  </si>
  <si>
    <t xml:space="preserve">TRAVEL EXPENSE </t>
  </si>
  <si>
    <t>CYPRESS VALLEY NAVIGATION DISTRICT</t>
  </si>
  <si>
    <t>FRIENDS OF THE REFUGE</t>
  </si>
  <si>
    <t>LONGVIEW PUBLIC LIBRARY</t>
  </si>
  <si>
    <t>MARSHALL PUBLIC LIBRARY</t>
  </si>
  <si>
    <t>WASKOM PUBLIC LIBRARY</t>
  </si>
  <si>
    <t>MARSHALL DEPOT</t>
  </si>
  <si>
    <t>HISTORICAL SOCIETY/MUSEUM</t>
  </si>
  <si>
    <t>HISTORICAL COMMISSION</t>
  </si>
  <si>
    <t>CERTIFICATION PAY</t>
  </si>
  <si>
    <t>SALARY-COURT ADMIN.</t>
  </si>
  <si>
    <t>SALARY-PART-TIME/TEMPORARY</t>
  </si>
  <si>
    <t>SALARY-BAILIFF</t>
  </si>
  <si>
    <t>SALARY</t>
  </si>
  <si>
    <t>CSCD PRE-TRIAL EXPENSE</t>
  </si>
  <si>
    <t xml:space="preserve">OFFICES SUPPLIES </t>
  </si>
  <si>
    <t>SALARY-ASSISTANT DA'S</t>
  </si>
  <si>
    <t>SALARY-CHIEF INVESTIGATOR</t>
  </si>
  <si>
    <t>SALARY-INVESTIGATOR</t>
  </si>
  <si>
    <t>LONGEVITY-STATE SUPPLEMENT</t>
  </si>
  <si>
    <t>SALARY-SUPPLEMENT</t>
  </si>
  <si>
    <t>GREASE &amp; GASOLINE</t>
  </si>
  <si>
    <t>CRIMINAL INVEST/VIDEO</t>
  </si>
  <si>
    <t>EXPERT WITNESS</t>
  </si>
  <si>
    <t>AUTO MAINTENANCE</t>
  </si>
  <si>
    <t>SALARY-SENIOR COURT CLERK</t>
  </si>
  <si>
    <t>TRAVEL  EXPENSE</t>
  </si>
  <si>
    <t>RADIO REPAIR/PARTS</t>
  </si>
  <si>
    <t>VISITING JUDGES EXPENSE</t>
  </si>
  <si>
    <t>LEGAL EXPENSE-COURT REP</t>
  </si>
  <si>
    <t>LEGAL EXPENSE-INDIGENT CRIM MATTERS</t>
  </si>
  <si>
    <t>LEGAL EXPENSE-NETAC</t>
  </si>
  <si>
    <t>LEGAL EXPENSE-COUNTY</t>
  </si>
  <si>
    <t>LEGAL EXPENSE-INDIGENTS-CPS, CHILD SUPPORT</t>
  </si>
  <si>
    <t>FIRST ADMIN. JUDICIAL DIST.</t>
  </si>
  <si>
    <t>CAPITAL MURDER EXPENSE</t>
  </si>
  <si>
    <t>SALARY-SUPPORT STAFF</t>
  </si>
  <si>
    <t>SALARY-PART TIME/TEMPORARY</t>
  </si>
  <si>
    <t>AUDIT EXPENSE</t>
  </si>
  <si>
    <t>SAFETY SUPPLIES</t>
  </si>
  <si>
    <t>APPRAISAL DISTRICT</t>
  </si>
  <si>
    <t>TAX NOTICE PREPARATION</t>
  </si>
  <si>
    <t>SALARY-MAINTENANCE</t>
  </si>
  <si>
    <t xml:space="preserve">SALARY-COMMUNITY. CENTER </t>
  </si>
  <si>
    <t>UNIFORM EXPENSE</t>
  </si>
  <si>
    <t>JANITORIAL SUPPLIES</t>
  </si>
  <si>
    <t>UTILITIES</t>
  </si>
  <si>
    <t>ENERGY SAVINGS CONSTRUCTION COST</t>
  </si>
  <si>
    <t>ENERGY SAVINGS CONTRACT-PRINCIPAL</t>
  </si>
  <si>
    <t>ENERGY SAVINGS CONTRACT-INTEREST</t>
  </si>
  <si>
    <t>SALARY-SOLID WASTE</t>
  </si>
  <si>
    <t>SALARY-EMERGENCY MANAGER COORDINATOR</t>
  </si>
  <si>
    <t>SALARY - PART TIME/TEMPORARY</t>
  </si>
  <si>
    <t>AUTOMOBILE PURCHASES</t>
  </si>
  <si>
    <t>FIRE PROTECTION-UNCERTAIN</t>
  </si>
  <si>
    <t>FIRE PROTECTION-BIG LAKE</t>
  </si>
  <si>
    <t>FIRE PROTECTION-EF</t>
  </si>
  <si>
    <t>FIRE PROTECTION-WOODLAWN</t>
  </si>
  <si>
    <t>CODE RED</t>
  </si>
  <si>
    <t>FIRE DISTRICT CONTRACTS</t>
  </si>
  <si>
    <t>AMBULANCE-HALLSVILLE</t>
  </si>
  <si>
    <t>FIRST RESPONDERS</t>
  </si>
  <si>
    <t>UNIFORM ALLOWANCE</t>
  </si>
  <si>
    <t>K-9 EXPENSE - DRUG DOG</t>
  </si>
  <si>
    <t>AMMUNITION</t>
  </si>
  <si>
    <t>I D SUPPLIES</t>
  </si>
  <si>
    <r>
      <rPr>
        <sz val="10"/>
        <rFont val="Arial"/>
        <family val="2"/>
      </rPr>
      <t xml:space="preserve">SAFE </t>
    </r>
    <r>
      <rPr>
        <sz val="10"/>
        <rFont val="Arial"/>
        <family val="2"/>
      </rPr>
      <t>TESTING</t>
    </r>
  </si>
  <si>
    <t>TRANSPORT PRISONERS</t>
  </si>
  <si>
    <t>TIRES &amp; TUBES</t>
  </si>
  <si>
    <t>BULLET PROOF VESTS</t>
  </si>
  <si>
    <t>BOATS/DIVING EQUIPMENT</t>
  </si>
  <si>
    <t>GPS MONITORING/INSTALL/MAINT</t>
  </si>
  <si>
    <t>RADIO/RADAR</t>
  </si>
  <si>
    <t>AGM TELECOM</t>
  </si>
  <si>
    <t>SALARY-SO OVERTIME</t>
  </si>
  <si>
    <t>SALARY-PART TIME NURSE</t>
  </si>
  <si>
    <t>SALARY-DETENTION</t>
  </si>
  <si>
    <t>SUPPLIES</t>
  </si>
  <si>
    <t>FOOD</t>
  </si>
  <si>
    <t>CLOTHING FOR INMATES</t>
  </si>
  <si>
    <t>MEDICAL CARE/DETENTION</t>
  </si>
  <si>
    <t>RADIO/RADAR REPAIR</t>
  </si>
  <si>
    <t>TIRES AND TUBES</t>
  </si>
  <si>
    <t>INMATE HOUSING OUT OF CO</t>
  </si>
  <si>
    <t>ANIMAL SHELTER PERSONNEL</t>
  </si>
  <si>
    <t>AMBULANCE/RESCUE SERVICE</t>
  </si>
  <si>
    <t>NATIONAL GUARD EXPENSE</t>
  </si>
  <si>
    <t>CIVIL DEFENSE</t>
  </si>
  <si>
    <t>HUMANE SOCIETY</t>
  </si>
  <si>
    <t>PREDATORY ANIMAL CONTROL</t>
  </si>
  <si>
    <t>MEDICAL CARE/INDIGENTS</t>
  </si>
  <si>
    <t>GREASE/GASOLINE</t>
  </si>
  <si>
    <t>TRAVEL REIMBURSEMENT</t>
  </si>
  <si>
    <t>TECQ FEES</t>
  </si>
  <si>
    <t>SALARY-MENTAL DEPUTY</t>
  </si>
  <si>
    <t>100.690.4752.70</t>
  </si>
  <si>
    <t>WOMEN'S CENTER OF TEXAS</t>
  </si>
  <si>
    <t>STATE JUROR REIMBURSEMENT</t>
  </si>
  <si>
    <t xml:space="preserve">JURY FEES </t>
  </si>
  <si>
    <t>ESTRAY SALES</t>
  </si>
  <si>
    <t>SALARY-DIST. COURT REPORTER</t>
  </si>
  <si>
    <t>SALARY-CC AT LAW REPORTER</t>
  </si>
  <si>
    <t>SUBSTITUTE COURT REPORTER</t>
  </si>
  <si>
    <t>GRAND JURORS</t>
  </si>
  <si>
    <t>GRAND JURY BALIFF</t>
  </si>
  <si>
    <t>JURORS-CENTRAL</t>
  </si>
  <si>
    <t>JURORS-COUNTY COURT</t>
  </si>
  <si>
    <t>JURY COMMISSIONERS</t>
  </si>
  <si>
    <t>JURORS-JP'S</t>
  </si>
  <si>
    <t>LICENSES FEES</t>
  </si>
  <si>
    <t>SURETY - CASH</t>
  </si>
  <si>
    <t>CONTRACT SERVICES</t>
  </si>
  <si>
    <t>AUTO REGISTRATION-BRIDGE</t>
  </si>
  <si>
    <t>AUTO REGISTRATION-REGULAR</t>
  </si>
  <si>
    <t>SUBDIVISION PLAT FEES</t>
  </si>
  <si>
    <t>CULVERT INSTALLATION FEES</t>
  </si>
  <si>
    <t>FLOOD PERMIT FEES</t>
  </si>
  <si>
    <t>GROSS &amp; AXLE WEIGHT FEES</t>
  </si>
  <si>
    <t>LATERAL ROAD FUNDS</t>
  </si>
  <si>
    <t>RISK CONTROL REIMBURSEMENT</t>
  </si>
  <si>
    <t>INTERLOCAL CONTRACTS</t>
  </si>
  <si>
    <t>FINES-COUNTY COURT</t>
  </si>
  <si>
    <t>FINES-DISTRICT COURT</t>
  </si>
  <si>
    <t>FORFEITURES</t>
  </si>
  <si>
    <t>SALARY-ROAD &amp; BRIDGE</t>
  </si>
  <si>
    <t>SALARY-ENGINEERING AIDE SUPPLEMENT</t>
  </si>
  <si>
    <t>EMPLOYEE DRUG TESTING</t>
  </si>
  <si>
    <t>LUMBER &amp; HARDWARE</t>
  </si>
  <si>
    <t>SAND &amp; GRAVEL</t>
  </si>
  <si>
    <t>BASE STABILIZATION MATERIAL</t>
  </si>
  <si>
    <t>ROAD OIL &amp; PAVING MATERIALS</t>
  </si>
  <si>
    <t>CULVERTS &amp; BRIDGES</t>
  </si>
  <si>
    <t>SALES TAX PAYABLE</t>
  </si>
  <si>
    <t>LATERAL ROAD FUND EXPENSE</t>
  </si>
  <si>
    <t>TRUCK REPAIR &amp; PARTS</t>
  </si>
  <si>
    <t>MACHINERY REPAIR &amp; PARTS</t>
  </si>
  <si>
    <t>SUNDRY-MAINTENANCE</t>
  </si>
  <si>
    <t>ROW ACQUISITIONS</t>
  </si>
  <si>
    <t>ROAD SIGN MATERIALS</t>
  </si>
  <si>
    <t>CONTRACT CONSTRUCTION</t>
  </si>
  <si>
    <t>EQUIPMENT-LEASE PAYMENTS</t>
  </si>
  <si>
    <t>GPS/MONITORING/INSTALL/MAINT</t>
  </si>
  <si>
    <t>EQUIPMENT LEASE - PRINCIPAL</t>
  </si>
  <si>
    <t>EQUIPMENT LEASE - INTEREST</t>
  </si>
  <si>
    <t>140.400.7200.00</t>
  </si>
  <si>
    <t>180.400.7200.00</t>
  </si>
  <si>
    <t>450.400.7200.00</t>
  </si>
  <si>
    <t>Fund Inactive</t>
  </si>
  <si>
    <t>470.400.7200.00</t>
  </si>
  <si>
    <t>ROAD DAMAGE REIMBURSEMENTS</t>
  </si>
  <si>
    <t>ROAD MATERIAL PURCHASES</t>
  </si>
  <si>
    <t>OIL &amp; GAS ROYALTY</t>
  </si>
  <si>
    <t>AVAILABLE SCHOOL FUND DISTRIBUTION</t>
  </si>
  <si>
    <t>PSF ROYALTIES DISTRIBUTION</t>
  </si>
  <si>
    <t xml:space="preserve">EQUIPMENT/MAINTENANCE </t>
  </si>
  <si>
    <t>LEOSE TRAINING - CONSTABLE #1</t>
  </si>
  <si>
    <t>LEOSE TRAINING - CONSTABLE #2</t>
  </si>
  <si>
    <t>LEOSE TRAINING - CONSTABLE #3</t>
  </si>
  <si>
    <t>LEOSE TRAINING - CONSTABLE #4</t>
  </si>
  <si>
    <t>LEOSE TRAINING - FIRE MARSHAL</t>
  </si>
  <si>
    <t>LEOSE TRAINING - DA</t>
  </si>
  <si>
    <t>TRAVEL EXPENSE - DIST ATTORNEY</t>
  </si>
  <si>
    <t>TRAVEL EXPENSE - FIRE MARSHAL</t>
  </si>
  <si>
    <t>TRAVEL EXPENSE - CONSTABLE #1</t>
  </si>
  <si>
    <t>TRAVEL EXPENSE - CONSTABLE #2</t>
  </si>
  <si>
    <t>TRAVEL EXPENSE - CONSTABLE #3</t>
  </si>
  <si>
    <t>TRAVEL EXPENSE - CONSTABLE #4</t>
  </si>
  <si>
    <t>BOOKS, EQUIP &amp; SUPPLIES</t>
  </si>
  <si>
    <t>AIRPORT GRANT-REIMBURSEMENT</t>
  </si>
  <si>
    <t>HANGAR LEASES</t>
  </si>
  <si>
    <t>MAINTENANCE FEE/TIE DOWNS</t>
  </si>
  <si>
    <t>SALE OF FUEL</t>
  </si>
  <si>
    <t>MANAGER'S CONTRACT</t>
  </si>
  <si>
    <t>MANAGER'S CONTIGENCY/HANGER 10</t>
  </si>
  <si>
    <t>CONTRACT SERVICES - FEES</t>
  </si>
  <si>
    <t>PARTS &amp; REPAIR</t>
  </si>
  <si>
    <t>STATE GRANT MATCH</t>
  </si>
  <si>
    <t>PERM IMP-RAMP PROGRAM</t>
  </si>
  <si>
    <t>TAX COLLECTOR - CHARGES FOR SERVS</t>
  </si>
  <si>
    <t>VIT ESCROW ACCOUNT INTEREST</t>
  </si>
  <si>
    <t>CHILD SAFETY FEE</t>
  </si>
  <si>
    <t>CITY OF SCOTTSVILLE</t>
  </si>
  <si>
    <t>CITY OF WASKOM</t>
  </si>
  <si>
    <t>CITY OF HALLSVILLE</t>
  </si>
  <si>
    <t>CITY OF MARSHALL</t>
  </si>
  <si>
    <t>CITY OF LONGVIEW</t>
  </si>
  <si>
    <t>CITY OF UNCERTAIN</t>
  </si>
  <si>
    <t>EAST TEXAS OPEN DOOR</t>
  </si>
  <si>
    <t>ETEX DRUG ABUSE COUNCIL</t>
  </si>
  <si>
    <t>BOYS &amp; GIRLS CLUB</t>
  </si>
  <si>
    <t>EAST TEXAS CHILD ADVOCATES</t>
  </si>
  <si>
    <t>CHILDREN'S ADVOCACY - MARTIN HOUSE</t>
  </si>
  <si>
    <t>COUNTY ADMINISTRATIVE FEE</t>
  </si>
  <si>
    <t>TRIAL EXP - CAPITAL MURDER</t>
  </si>
  <si>
    <t>TECHNOLOGY CRIMINAL FEE - COUNTY</t>
  </si>
  <si>
    <t>TECHNOLOGY CRIMINAL FEE - DISTRICT</t>
  </si>
  <si>
    <t>TECHNOLOGY CRIMINAL FEE</t>
  </si>
  <si>
    <t>RECORDS ARCHIVE FEE</t>
  </si>
  <si>
    <t>JUSTICE COURT FEES</t>
  </si>
  <si>
    <t>SALARY-PART TIME/TEMP</t>
  </si>
  <si>
    <t>INTERNET SERVICES</t>
  </si>
  <si>
    <t>SOFTWARE UPGRADE</t>
  </si>
  <si>
    <t>CASE MANAGER FEES</t>
  </si>
  <si>
    <t>TRUANCY PREVENTION FEES</t>
  </si>
  <si>
    <t>LICENSE UPDATES</t>
  </si>
  <si>
    <t>LEVEL 5 PLACEMENT</t>
  </si>
  <si>
    <t>PROBATION FEES</t>
  </si>
  <si>
    <t>DRUG TEST FEES</t>
  </si>
  <si>
    <t>ELECTRONIC MONITORING FEES</t>
  </si>
  <si>
    <t>DETENTION FEES-OTHER</t>
  </si>
  <si>
    <t>SALARY-JUVENILE BOARD</t>
  </si>
  <si>
    <t>SALARY-STATE SUPPLEMENT</t>
  </si>
  <si>
    <t>NON/RESIDENTIAL SVCS</t>
  </si>
  <si>
    <t>FEASIBILITY STUDY</t>
  </si>
  <si>
    <t>PHONE SYSTEM</t>
  </si>
  <si>
    <t>REPAIRS/MAINTENANCE</t>
  </si>
  <si>
    <t>ELECTRONIC MONITORING</t>
  </si>
  <si>
    <t>SALARY-SCHOOL LUNCH PROGRAM</t>
  </si>
  <si>
    <t>CCAP - Y</t>
  </si>
  <si>
    <t>JUVENILE STATE AID - A</t>
  </si>
  <si>
    <t>FACILITY OPERATING - V</t>
  </si>
  <si>
    <t>JUVENILE STATE AID - F</t>
  </si>
  <si>
    <t>REGIONAL INCENTIVE - X</t>
  </si>
  <si>
    <t xml:space="preserve">JUVENILE STATE AID - H </t>
  </si>
  <si>
    <t>ETCOG - EVALUATION SERVICES</t>
  </si>
  <si>
    <t>JUVENILE STATE AID - N</t>
  </si>
  <si>
    <t>JUVENILE STATE AID - R</t>
  </si>
  <si>
    <t>STATE SALARY SUPPLEMENT - Z</t>
  </si>
  <si>
    <t>SALARY-JUVENILE PROBATION</t>
  </si>
  <si>
    <t>SALARY-JUVENILE DETENTION</t>
  </si>
  <si>
    <t>LONGEVITY</t>
  </si>
  <si>
    <t>NON-RESIDENTIAL SVCS</t>
  </si>
  <si>
    <t>COUNSELING PRE &amp; POST ADJUDICATION</t>
  </si>
  <si>
    <t>SEX OFFENDER TREATMENT</t>
  </si>
  <si>
    <t>COUNSELING PRE-ADJUDICATION</t>
  </si>
  <si>
    <t>FAMILY REUNIFICATION</t>
  </si>
  <si>
    <t>RISK &amp; NEEDS ASSESSMENT</t>
  </si>
  <si>
    <t>SALARY-JUVENILE GRANT "F"</t>
  </si>
  <si>
    <t>SALARY-JUVENILE GRANT "CCAP"</t>
  </si>
  <si>
    <t>SALARY-JUVENILE GRANT "V"</t>
  </si>
  <si>
    <t>STAR BOOT CAMP-CITY/ISD/MISC - GOV</t>
  </si>
  <si>
    <t>JUVENILE PROB. FEES</t>
  </si>
  <si>
    <t>CITY WASTE CONTRACT</t>
  </si>
  <si>
    <t>SALARY-DRILL INSTRUCTORS</t>
  </si>
  <si>
    <t>MENTAL OFFICER GRANT</t>
  </si>
  <si>
    <t>SCAAP</t>
  </si>
  <si>
    <t>TOBACCO COMPLIANCE GRANT</t>
  </si>
  <si>
    <t>TITLE IV-E LEGAL</t>
  </si>
  <si>
    <t>TXDOT STEP  SPEED GRANT</t>
  </si>
  <si>
    <t>DA VINE GRANT</t>
  </si>
  <si>
    <t>BODY WORN CAMERA GRANT</t>
  </si>
  <si>
    <t>C.O.P.S. GRANT</t>
  </si>
  <si>
    <t>ETCOG - SOLID WASTE GRANT</t>
  </si>
  <si>
    <t>ELYSIAN FIELDS VFD REPEATER PROJECT</t>
  </si>
  <si>
    <t>CADDO LAKE WATER SUPPLY</t>
  </si>
  <si>
    <t>TALLEY WATER SUPPLY</t>
  </si>
  <si>
    <t>TRANSPORTATION INFRASTRUCTURE (TXDOT)</t>
  </si>
  <si>
    <t>EDWARD BYRNE JAG - CRIME DATA/SCENE INVEST.</t>
  </si>
  <si>
    <t>EQUIPMENT</t>
  </si>
  <si>
    <t>MENTAL OFFICER</t>
  </si>
  <si>
    <t>TRAFFIC SAFETY</t>
  </si>
  <si>
    <t>TOBACCO-CPA</t>
  </si>
  <si>
    <t>TRANSPORTATION INFRASTRUCTURE FUND (TXDOT)</t>
  </si>
  <si>
    <t>C.O.P.S.</t>
  </si>
  <si>
    <t>EDWARD BYRNE JAG-CRIME DATA/SCENE INVESTIG.</t>
  </si>
  <si>
    <t>BJA-SCAAP</t>
  </si>
  <si>
    <t>DA VINE</t>
  </si>
  <si>
    <t>ELYSIAN FIELDS REPEATER PROJECT</t>
  </si>
  <si>
    <t>CADDO WATER SUPPLY</t>
  </si>
  <si>
    <t>SALARY-MENTAL OFFICER</t>
  </si>
  <si>
    <t xml:space="preserve">RETIREMENT   </t>
  </si>
  <si>
    <t xml:space="preserve">GROUP HEALTH INSURANCE </t>
  </si>
  <si>
    <t>SALARY-COUNTY GRANT</t>
  </si>
  <si>
    <t>BUY MONEY</t>
  </si>
  <si>
    <t>PARTICIPANT PAY</t>
  </si>
  <si>
    <t>490.945</t>
  </si>
  <si>
    <t>SOLID WASTE OFFICER</t>
  </si>
  <si>
    <r>
      <t xml:space="preserve">2008 TXCDBG DISASTER RECOVERY - </t>
    </r>
    <r>
      <rPr>
        <b/>
        <sz val="10"/>
        <rFont val="Arial"/>
        <family val="2"/>
      </rPr>
      <t>GENERATORS</t>
    </r>
  </si>
  <si>
    <t xml:space="preserve">COUNTY CLERK </t>
  </si>
  <si>
    <t>COPIES</t>
  </si>
  <si>
    <t>RECORDS PRES. &amp; AUTOMATION</t>
  </si>
  <si>
    <t>RECORD ARCHIVE FEES</t>
  </si>
  <si>
    <t>VITAL ARCHIVE FEES</t>
  </si>
  <si>
    <t>VITAL ARCHIVE</t>
  </si>
  <si>
    <t>RECORD PRES. &amp; AUTOMATION</t>
  </si>
  <si>
    <t>COURT RECORDS FEE</t>
  </si>
  <si>
    <t xml:space="preserve">COUNTY   </t>
  </si>
  <si>
    <t>SUB-COURTHOUSE</t>
  </si>
  <si>
    <t>SALARY-SECURITY OFFICER</t>
  </si>
  <si>
    <t>SALARY-SHERIFF DEPT. OVERTIME</t>
  </si>
  <si>
    <t>SECURITY &amp; FIRE ALARM SYSTEM</t>
  </si>
  <si>
    <t>550.400.7200.00</t>
  </si>
  <si>
    <t>SUB-COURTHOUSE SECURITY</t>
  </si>
  <si>
    <t>GUARDIANSHIP EXPENSES</t>
  </si>
  <si>
    <t>DISTRICT CLERK APPELLATE FEES</t>
  </si>
  <si>
    <t>COUNTY CLERK APPELLATE FEES</t>
  </si>
  <si>
    <t>JAIL-CO-PRINCIPAL</t>
  </si>
  <si>
    <t>JAIL-CO-INTEREST</t>
  </si>
  <si>
    <t>2009 CAPITAL LEASE-MG-PRINCIPAL</t>
  </si>
  <si>
    <t>2009 CAPITAL LEASE-MG-INTEREST</t>
  </si>
  <si>
    <t>2010 CAPITAL LEASE-SO-PRINCIPAL</t>
  </si>
  <si>
    <t>2010 CAPITAL LEASE-SO-INTEREST</t>
  </si>
  <si>
    <t>2012 CAPITAL LEASE-RB #007 PRINCIPAL</t>
  </si>
  <si>
    <t>2012 CAPITAL LEASE-RB #007 INTEREST</t>
  </si>
  <si>
    <t>2012 CAPITAL LEASE-RB-MG-#008 PRINCIPAL</t>
  </si>
  <si>
    <t>2012 CAPITAL LEASE-RB-MG-#008 INTEREST</t>
  </si>
  <si>
    <t>2013 CAPITAL LEASE-RB-EXC-#010 PRINCIPAL</t>
  </si>
  <si>
    <t>2013 CAPITAL LEASE-RB-EXC-#010 INTEREST</t>
  </si>
  <si>
    <t>2013 CAPITAL LEASE-RB-DPTRK-#011 PRINCIPAL</t>
  </si>
  <si>
    <t>2013 CAPITAL LEASE-RB-DPTRK-#011 INTEREST</t>
  </si>
  <si>
    <t>2013 CAPITAL LEASE-SO VEH-#012 PRINCIPAL</t>
  </si>
  <si>
    <t>2013 CAPITAL LEASE-SO VEH-#012 INTEREST</t>
  </si>
  <si>
    <t>2014 CAPITAL LEASE-RB-MG-#013 PRINCIPAL</t>
  </si>
  <si>
    <t>2014 CAPITAL LEASE-RB-MG-#013 INTEREST</t>
  </si>
  <si>
    <t>2015 CAPITAL LEASE-RB-MG-#014 PRINCIPAL</t>
  </si>
  <si>
    <t>2015 CAPITAL LEASE-RB-MG-#014 INTEREST</t>
  </si>
  <si>
    <t>SERVICE FEES</t>
  </si>
  <si>
    <t>610.400.7200.00</t>
  </si>
  <si>
    <t>Inactive Fund</t>
  </si>
  <si>
    <t>GENERAL  BUILDING</t>
  </si>
  <si>
    <t>JAIL IMPROVEMENTS</t>
  </si>
  <si>
    <t>JAIL ROOF PROJECT</t>
  </si>
  <si>
    <t>WILLOUGHBY DETENTION CENTER ROOF</t>
  </si>
  <si>
    <t>CONTINGENCY-GENL BLDG</t>
  </si>
  <si>
    <t>CONTINGENCY-JAIL</t>
  </si>
  <si>
    <t>COURTHOUSE ROOF</t>
  </si>
  <si>
    <t>DEBT PROCEEDS</t>
  </si>
  <si>
    <t>JAIL CONSTRUCTION</t>
  </si>
  <si>
    <t>JAIL ARCHITECT FEES</t>
  </si>
  <si>
    <t>STATE GRANT</t>
  </si>
  <si>
    <t>CONSTRUCTION COSTS</t>
  </si>
  <si>
    <t>ARCHITECT FEES</t>
  </si>
  <si>
    <t>STATE DISBURSEMENT</t>
  </si>
  <si>
    <t>ALZHEIMER'S ALLIANCE</t>
  </si>
  <si>
    <t>WOMEN'S CENTER OF EAST TEXAS</t>
  </si>
  <si>
    <t>HARRISON COUNTY RED CROSS</t>
  </si>
  <si>
    <t>ARC OFHARRISON COUNTY</t>
  </si>
  <si>
    <t>LITERACY COUNCIL</t>
  </si>
  <si>
    <t>EVIDENCE TESTING</t>
  </si>
  <si>
    <t>OPERATING LEASE PAYMENTS</t>
  </si>
  <si>
    <t>OPERATING LEASE INTEREST</t>
  </si>
  <si>
    <t>STATE-SALARY SUPPLEMENT</t>
  </si>
  <si>
    <t>DA HOT CHECK SERVICE FEES</t>
  </si>
  <si>
    <t>PRETRIAL DIVERSION</t>
  </si>
  <si>
    <t>DA FORFEITURE FUNDS</t>
  </si>
  <si>
    <t>SALARY-ASSISTANTS</t>
  </si>
  <si>
    <t>SALARY-DA SUPPLEMENT</t>
  </si>
  <si>
    <t>CHILDREN'S ADVOCACY CENTER</t>
  </si>
  <si>
    <t>PRE-TRIAL DIVERSION PROGRAM EXP.</t>
  </si>
  <si>
    <t>Elizabeth James, County Clerk</t>
  </si>
  <si>
    <t>ELIZABETH JAMES</t>
  </si>
  <si>
    <t>710.400.7200.00</t>
  </si>
  <si>
    <t>720.400.7200.00</t>
  </si>
  <si>
    <t>100.511.4588.35</t>
  </si>
  <si>
    <t>AUTO LEASE PAYMENT</t>
  </si>
  <si>
    <t>100.543.4588.35</t>
  </si>
  <si>
    <t>100.561.4588.45</t>
  </si>
  <si>
    <t>100.631.4588.55</t>
  </si>
  <si>
    <t>140.620.4588.40</t>
  </si>
  <si>
    <t>450.570.4588.45</t>
  </si>
  <si>
    <t>NET POSITION (Receipts - Disbursements)</t>
  </si>
  <si>
    <t>100.340.3484.00</t>
  </si>
  <si>
    <t>TIME PAYMENT FEE</t>
  </si>
  <si>
    <t>100.471.4201.20</t>
  </si>
  <si>
    <t>100.454.4588.20</t>
  </si>
  <si>
    <t>100.451.4421.15</t>
  </si>
  <si>
    <t>100.435.4421.15</t>
  </si>
  <si>
    <t>100.496.4421.10</t>
  </si>
  <si>
    <t>100.503.4165.30</t>
  </si>
  <si>
    <t>INFORMATION TECHNOLOGY (503)</t>
  </si>
  <si>
    <t>100.565.4588.45</t>
  </si>
  <si>
    <t>INFORMATION TECHNOLOGY</t>
  </si>
  <si>
    <t>COMMUNITY CORRECTIONS ASSISTANCE</t>
  </si>
  <si>
    <t>BRANDON FLETCHER</t>
  </si>
  <si>
    <t>2020 ACTUAL</t>
  </si>
  <si>
    <t>100.340.3500.00</t>
  </si>
  <si>
    <t>SPECIALITY COURT FEES</t>
  </si>
  <si>
    <t>100.360.3652.00</t>
  </si>
  <si>
    <t>300.360.3899.00</t>
  </si>
  <si>
    <t>460.571</t>
  </si>
  <si>
    <t>JUVENILE REGIONALIZATION GRANT</t>
  </si>
  <si>
    <t>460.571.4412.45</t>
  </si>
  <si>
    <t>MENTAL HEALTH SERVICES</t>
  </si>
  <si>
    <t>HAVA</t>
  </si>
  <si>
    <t>490.330.3726.00</t>
  </si>
  <si>
    <t>490.330.3758.00</t>
  </si>
  <si>
    <t>490.330.3759.00</t>
  </si>
  <si>
    <t>DRUG ENFORMCEMENT TASK FORCE</t>
  </si>
  <si>
    <t>490.330.3760.00</t>
  </si>
  <si>
    <t>490.330.3761.00</t>
  </si>
  <si>
    <t>490.330.3762.00</t>
  </si>
  <si>
    <t>HARLETON VFD REPEATER PROJECT</t>
  </si>
  <si>
    <t>HARRISON COUNTY REPEATER PROJECT</t>
  </si>
  <si>
    <t>CARES - CORONAVIRUS RELIEF FUNDS</t>
  </si>
  <si>
    <t>SO - PATROL FLEET</t>
  </si>
  <si>
    <t>490.584</t>
  </si>
  <si>
    <t>490.584.4572.00</t>
  </si>
  <si>
    <t>490.720.4434.45</t>
  </si>
  <si>
    <t>490.728</t>
  </si>
  <si>
    <t>490.728.4572.45</t>
  </si>
  <si>
    <t>HARLETON VFD</t>
  </si>
  <si>
    <t>490.729</t>
  </si>
  <si>
    <t>HARRISON COUNTY REPEATER</t>
  </si>
  <si>
    <t>490.729.4572.45</t>
  </si>
  <si>
    <t>EDWARD BRYNE JAG</t>
  </si>
  <si>
    <t>490.731</t>
  </si>
  <si>
    <t>490.731.4575.45</t>
  </si>
  <si>
    <t>490.732</t>
  </si>
  <si>
    <t>CORONAVIRUS RELIEF FUNDS (CRF)</t>
  </si>
  <si>
    <t>490.732.4332.10</t>
  </si>
  <si>
    <t>490.732.4572.10</t>
  </si>
  <si>
    <t>490.732.4742.55</t>
  </si>
  <si>
    <t>490.732.4743.55</t>
  </si>
  <si>
    <t>WASKOM ISD</t>
  </si>
  <si>
    <t>KARNACK ISD</t>
  </si>
  <si>
    <t>490.732.4744.55</t>
  </si>
  <si>
    <t>ELYSIAN FIELDS ISD</t>
  </si>
  <si>
    <t>HARLETON ISD</t>
  </si>
  <si>
    <t>MEDICAL CARE</t>
  </si>
  <si>
    <t>SALARIES</t>
  </si>
  <si>
    <t>490.732.4105.10</t>
  </si>
  <si>
    <t>490.732.4783.45</t>
  </si>
  <si>
    <t>890.820.4166.20</t>
  </si>
  <si>
    <t>VeraBank</t>
  </si>
  <si>
    <t>2021 SECURED EQUIPMENT (#001- VeraBank)</t>
  </si>
  <si>
    <t>2021 Leased Vehicles Agreement - Fire Marshal</t>
  </si>
  <si>
    <t>2021 Leased Vehicles Agreement - Maintenance</t>
  </si>
  <si>
    <t>2021 Leased Vehicles Agreement - OSSF</t>
  </si>
  <si>
    <t>2021 Leased Vehicles Agreement - Sheriff's Office</t>
  </si>
  <si>
    <t>2021 Leased Vehicles Agreement - Juvenile Services</t>
  </si>
  <si>
    <t>100.330.3762.00</t>
  </si>
  <si>
    <t>495.360.3601.00</t>
  </si>
  <si>
    <t>AMERICAN RESCUE PLAN REVENUE</t>
  </si>
  <si>
    <t>495.650.4432.10</t>
  </si>
  <si>
    <t>495.650.4572.45</t>
  </si>
  <si>
    <t>495.330.3973.00</t>
  </si>
  <si>
    <t>Researching to confirm what is required</t>
  </si>
  <si>
    <t>AMERICAN RESCUE PLAN FUND</t>
  </si>
  <si>
    <t>740.690.4772.64</t>
  </si>
  <si>
    <t>TWELVE WAY FOUNDATION, INC</t>
  </si>
  <si>
    <t>890.820.4201.20</t>
  </si>
  <si>
    <t>550.520.4165.45</t>
  </si>
  <si>
    <t>EAST TEXAS COUNCIL ON ALCOHOL and DRUG ABUSE (ETCADA)</t>
  </si>
  <si>
    <t>EAST TEXAS CASA</t>
  </si>
  <si>
    <t>490.330.3763.00</t>
  </si>
  <si>
    <t>490.330.3764.00</t>
  </si>
  <si>
    <t>TEXAS WILDLIFE - FERAL HOG ABATEMENT GRANT</t>
  </si>
  <si>
    <t>490.735</t>
  </si>
  <si>
    <t>WILDLIFE SERVICES FERAL HOG GRANT</t>
  </si>
  <si>
    <t>AMERICAN RESCUE PLAN FUND(495)</t>
  </si>
  <si>
    <t>HARRISON COUNTY SOIL &amp; CONSERVATION DIST.</t>
  </si>
  <si>
    <t>890.840.4166.20</t>
  </si>
  <si>
    <t xml:space="preserve"> Pollution Control</t>
  </si>
  <si>
    <t>240.695.4525.40</t>
  </si>
  <si>
    <t>280.360.3601.00</t>
  </si>
  <si>
    <t>100.552.4588.45</t>
  </si>
  <si>
    <t>AUTO LEASE PAYMENTS</t>
  </si>
  <si>
    <t>495.751.4553.55</t>
  </si>
  <si>
    <t>NORTH HARRISON WSC - CONSTRUCTION</t>
  </si>
  <si>
    <t>495.900.4553.55</t>
  </si>
  <si>
    <t>HARLETON WSC - CONSTRUCTION</t>
  </si>
  <si>
    <t>495.910.4553.55</t>
  </si>
  <si>
    <t>LEIGH WSC - CONSTRUCTION</t>
  </si>
  <si>
    <t>495.930.4553.55</t>
  </si>
  <si>
    <t>TALLEY WSC - CONSTRUCTION</t>
  </si>
  <si>
    <t>495.935.4553.55</t>
  </si>
  <si>
    <t>CADDO LAKE WSC - CONSTRUCTION</t>
  </si>
  <si>
    <t>495.940.4553.55</t>
  </si>
  <si>
    <t>WASKOM RURAL WSC - CONSTRUCTION</t>
  </si>
  <si>
    <t>495.950.4553.55</t>
  </si>
  <si>
    <t>BLOCKER CROSSROADS WSC -CONSTRUCTION</t>
  </si>
  <si>
    <t>495.955.4553.55</t>
  </si>
  <si>
    <t>CYPRESS VALLEY WSC - CONSTRUCTION</t>
  </si>
  <si>
    <t>495.960.4553.55</t>
  </si>
  <si>
    <t>ELYSIAN FIELDS WSC - CONSTRUCTION</t>
  </si>
  <si>
    <t>495.965.4553.55</t>
  </si>
  <si>
    <t>GILL WSC - CONSTRUCTION</t>
  </si>
  <si>
    <t>495.970.4553.55</t>
  </si>
  <si>
    <t>GUM SPRINGS WSC - CONSTRUCTION</t>
  </si>
  <si>
    <t>495.975.4553.55</t>
  </si>
  <si>
    <t>WEST HARRISON WSC - CONSTRUCTION</t>
  </si>
  <si>
    <t>140.340.3499.00</t>
  </si>
  <si>
    <t>100.401.4111.10</t>
  </si>
  <si>
    <t>SALARY - CLERICAL</t>
  </si>
  <si>
    <t>SALARY- PART-TIME/TEMPORARY</t>
  </si>
  <si>
    <t>2021 ACTUAL</t>
  </si>
  <si>
    <t>710.360.3752.00</t>
  </si>
  <si>
    <t xml:space="preserve">INSURANCE PROCEEDS </t>
  </si>
  <si>
    <t xml:space="preserve">2023 BUDGET </t>
  </si>
  <si>
    <t>ESTIMATED BALANCE BEGINNING OF YR</t>
  </si>
  <si>
    <t>2023 BUDGET</t>
  </si>
  <si>
    <t>495.620.4561.40</t>
  </si>
  <si>
    <t>495.695.4550.10</t>
  </si>
  <si>
    <t>495.695.4575.45</t>
  </si>
  <si>
    <t>AUTO PURCHASES</t>
  </si>
  <si>
    <t>FY 2023 Budgeted Revenue</t>
  </si>
  <si>
    <t>100.436</t>
  </si>
  <si>
    <t>490.584.4311.00</t>
  </si>
  <si>
    <t>490.584.4341.00</t>
  </si>
  <si>
    <t>490.732.4745.55</t>
  </si>
  <si>
    <t>490.733</t>
  </si>
  <si>
    <t>CORONAVIRUS EMERGENCY SUPPLEMENT FUNDING (CESF)</t>
  </si>
  <si>
    <t>490.733.4572.45</t>
  </si>
  <si>
    <t>490.734</t>
  </si>
  <si>
    <t>490.734.4572.45</t>
  </si>
  <si>
    <t>JAG INVESTIGATIVE EQUIPMENT GRANT</t>
  </si>
  <si>
    <t>490.735.4332.55</t>
  </si>
  <si>
    <t>490.735.4572.45</t>
  </si>
  <si>
    <t>110.</t>
  </si>
  <si>
    <t>120.695</t>
  </si>
  <si>
    <t>120.</t>
  </si>
  <si>
    <t>145.360</t>
  </si>
  <si>
    <t>145.620</t>
  </si>
  <si>
    <t>160.360</t>
  </si>
  <si>
    <t>180.</t>
  </si>
  <si>
    <t>220.</t>
  </si>
  <si>
    <t>240.</t>
  </si>
  <si>
    <t>270.</t>
  </si>
  <si>
    <t>280.</t>
  </si>
  <si>
    <t>330.</t>
  </si>
  <si>
    <t>330.695</t>
  </si>
  <si>
    <t>410.</t>
  </si>
  <si>
    <t>410.695</t>
  </si>
  <si>
    <t>450.570</t>
  </si>
  <si>
    <t>450.692</t>
  </si>
  <si>
    <t>470.</t>
  </si>
  <si>
    <t>490.330</t>
  </si>
  <si>
    <t>490.360</t>
  </si>
  <si>
    <t>495.</t>
  </si>
  <si>
    <t>500.</t>
  </si>
  <si>
    <t>500.403</t>
  </si>
  <si>
    <t>510.</t>
  </si>
  <si>
    <t>510.403</t>
  </si>
  <si>
    <t>511.</t>
  </si>
  <si>
    <t>511.403</t>
  </si>
  <si>
    <t>512.</t>
  </si>
  <si>
    <t>512.403</t>
  </si>
  <si>
    <t>513.</t>
  </si>
  <si>
    <t>513.451</t>
  </si>
  <si>
    <t>514.</t>
  </si>
  <si>
    <t>514.451</t>
  </si>
  <si>
    <t>515.</t>
  </si>
  <si>
    <t>515.403</t>
  </si>
  <si>
    <t>300.</t>
  </si>
  <si>
    <t>300.695</t>
  </si>
  <si>
    <t>310.</t>
  </si>
  <si>
    <t>320.</t>
  </si>
  <si>
    <t>260.</t>
  </si>
  <si>
    <t>550</t>
  </si>
  <si>
    <t>550.520</t>
  </si>
  <si>
    <t>551.</t>
  </si>
  <si>
    <t>551.521</t>
  </si>
  <si>
    <t>560</t>
  </si>
  <si>
    <t>560.695</t>
  </si>
  <si>
    <t>570.</t>
  </si>
  <si>
    <t>610.</t>
  </si>
  <si>
    <t>710.</t>
  </si>
  <si>
    <t>710.695</t>
  </si>
  <si>
    <t>720.</t>
  </si>
  <si>
    <t>730.</t>
  </si>
  <si>
    <t>740.</t>
  </si>
  <si>
    <t>750.</t>
  </si>
  <si>
    <t>750.695</t>
  </si>
  <si>
    <t xml:space="preserve">need to update formula </t>
  </si>
  <si>
    <t xml:space="preserve">     AIRPORT HANGARS</t>
  </si>
  <si>
    <t>GENERAL BUILDING</t>
  </si>
  <si>
    <t>MICROFILMING / INDEXING</t>
  </si>
  <si>
    <t>100.499.4271.30</t>
  </si>
  <si>
    <t>100.661.4311.65</t>
  </si>
  <si>
    <t>TP&amp;W GAME WARDEN OFFICE SUPPLIES</t>
  </si>
  <si>
    <t>740.695.4572.45</t>
  </si>
  <si>
    <t>increase</t>
  </si>
  <si>
    <t>100.561.4585.45</t>
  </si>
  <si>
    <t>COMMUNICATIONS UPGRADE</t>
  </si>
  <si>
    <t>450.570.4118.45</t>
  </si>
  <si>
    <t>SALARY - OVERTIME</t>
  </si>
  <si>
    <t>100.403.4118.10</t>
  </si>
  <si>
    <t>100.405.4118.10</t>
  </si>
  <si>
    <t>OVERTIME</t>
  </si>
  <si>
    <t>100.407.4118.25</t>
  </si>
  <si>
    <t>100.451.4118.15</t>
  </si>
  <si>
    <t>100.454.4118.20</t>
  </si>
  <si>
    <t>100.461.4118.15</t>
  </si>
  <si>
    <t>100.462.4118.15</t>
  </si>
  <si>
    <t>100.463.4118.15</t>
  </si>
  <si>
    <t>100.465.4118.15</t>
  </si>
  <si>
    <t>100.496.4118.10</t>
  </si>
  <si>
    <t>100.497.4118.30</t>
  </si>
  <si>
    <t>100.499.4118.30</t>
  </si>
  <si>
    <t>100.501.4118.30</t>
  </si>
  <si>
    <t>100.503.4118.30</t>
  </si>
  <si>
    <t>100.511.4118.35</t>
  </si>
  <si>
    <t>100.566.4118.30</t>
  </si>
  <si>
    <t>100.665.4118.65</t>
  </si>
  <si>
    <t>100.665.4105.65</t>
  </si>
  <si>
    <t>SALARY - SUPPORT STAFF</t>
  </si>
  <si>
    <t>100.403.4421.10</t>
  </si>
  <si>
    <t>100.407.4117.10</t>
  </si>
  <si>
    <t xml:space="preserve">2024 BUDGET </t>
  </si>
  <si>
    <t>2022 ACTUAL</t>
  </si>
  <si>
    <t>100.340.3600.00</t>
  </si>
  <si>
    <t>100.340.3606.00</t>
  </si>
  <si>
    <t>100.340.3607.00</t>
  </si>
  <si>
    <t>COURT SUPPORT FEES</t>
  </si>
  <si>
    <t>LANGUAGE ACCESS FEE</t>
  </si>
  <si>
    <t>COURT FACILITY FEE</t>
  </si>
  <si>
    <t>100.564.4457.45</t>
  </si>
  <si>
    <t>260.499.4104.30</t>
  </si>
  <si>
    <t>SALARY - DEPUTIES</t>
  </si>
  <si>
    <t>490.330.3765.00</t>
  </si>
  <si>
    <t>LAW ENFORCEMENT TERRORISM PREV. (LEPTA)</t>
  </si>
  <si>
    <t>490.740</t>
  </si>
  <si>
    <t>490.740.4332.10</t>
  </si>
  <si>
    <t>490.740.4572.10</t>
  </si>
  <si>
    <t>SECO STIMULUS GRANT</t>
  </si>
  <si>
    <t>490.736</t>
  </si>
  <si>
    <t>490.736.4572.45</t>
  </si>
  <si>
    <t>LAW ENFORCEMENT TERRORISM PREVENTION ACT</t>
  </si>
  <si>
    <t>DA Vine</t>
  </si>
  <si>
    <t>SECO</t>
  </si>
  <si>
    <t>Monies received after end of fiscal year</t>
  </si>
  <si>
    <t>Balance</t>
  </si>
  <si>
    <t>890.360.3645.00</t>
  </si>
  <si>
    <t>2023 - 2024 BUDGETED SALARIES</t>
  </si>
  <si>
    <t>SALARIES FOR HARRISON COUNTY ELECTED OFFICIALS FOR THE 2023 - 2024 FISCAL YEAR BEGINNING OCTOBER 1, 2023.</t>
  </si>
  <si>
    <t>FOR THE YEAR ENDING SEPTEMBER 30, 2024</t>
  </si>
  <si>
    <t>We submit herewith the 2024 Adopted Budget for Harrison County which was approved this date.</t>
  </si>
  <si>
    <t>2023 - 2024 BUDGET</t>
  </si>
  <si>
    <t>DEMISHA CRAWFORD</t>
  </si>
  <si>
    <t>GREGG GREER</t>
  </si>
  <si>
    <t>2023-2024 ESTIMATED AD VALOREM TAX REVENUE</t>
  </si>
  <si>
    <t>2023-2024 DEBT SERVICE REQUIREMENTS</t>
  </si>
  <si>
    <t>2023-2024 OPERATING LEASE REQUIREMENTS</t>
  </si>
  <si>
    <t>2023 - 2024 ESTIMATED AD VALOREM TAX REVENUE</t>
  </si>
  <si>
    <t>CASH &amp; INVESTMENTS -  JUNE 30, 2023</t>
  </si>
  <si>
    <t>Outstanding as of 9/30/2023</t>
  </si>
  <si>
    <t>Updated 2/6/2023</t>
  </si>
  <si>
    <t>2024 BUDGET</t>
  </si>
  <si>
    <t>CASH AND INVESTMENTS AT JUNE 30, 2023</t>
  </si>
  <si>
    <t>FY2023 Budget</t>
  </si>
  <si>
    <t>Levy</t>
  </si>
  <si>
    <t>Cadence Bank</t>
  </si>
  <si>
    <t>2023 Secured Equip. Note - Dump Trucks</t>
  </si>
  <si>
    <t>2022 SECURED EQUIPMENT (#023 - Cadence Bank)</t>
  </si>
  <si>
    <t>New agreement will be signed - Aug/Sept 2023</t>
  </si>
  <si>
    <t>2021 Secured Equip. Note - Motor Graders</t>
  </si>
  <si>
    <t>OPIOD SETTLEMENT (FUND 745)</t>
  </si>
  <si>
    <t>745.321.3715.00</t>
  </si>
  <si>
    <t>745.</t>
  </si>
  <si>
    <t>745.690.4751.70</t>
  </si>
  <si>
    <t>745.690.4757.70</t>
  </si>
  <si>
    <t>745.690.4763.70</t>
  </si>
  <si>
    <t>745.690.4764.70</t>
  </si>
  <si>
    <t>745.690.4767.70</t>
  </si>
  <si>
    <t>745.690.4768.70</t>
  </si>
  <si>
    <t>745.690.4769.70</t>
  </si>
  <si>
    <t>745.690.4774.70</t>
  </si>
  <si>
    <t>745.690.4786.70</t>
  </si>
  <si>
    <t>745.690.4787.70</t>
  </si>
  <si>
    <t>745.690.4788.70</t>
  </si>
  <si>
    <t>745.690.4789.70</t>
  </si>
  <si>
    <t>745.690.4792.70</t>
  </si>
  <si>
    <t>745.690.4772.64</t>
  </si>
  <si>
    <t>745.695.4431.10</t>
  </si>
  <si>
    <t>745.360.3601.00</t>
  </si>
  <si>
    <t>OPIOID SETTLEMENT FUND</t>
  </si>
  <si>
    <t>890.840.4201.20</t>
  </si>
  <si>
    <t>100.501.4272.30</t>
  </si>
  <si>
    <t>100.403.4272.10</t>
  </si>
  <si>
    <t>OPIOD SETTLEMENT FUND</t>
  </si>
  <si>
    <t>New Agreement should be in Aug/Sep</t>
  </si>
  <si>
    <t>100.561.4110.45</t>
  </si>
  <si>
    <t>100.561.4116.31</t>
  </si>
  <si>
    <t>100.561.4491.55</t>
  </si>
  <si>
    <t>100.561.4733.45</t>
  </si>
  <si>
    <t>100.665.4484.65</t>
  </si>
  <si>
    <t>4-H PROGRAM EXPENSE</t>
  </si>
  <si>
    <t>511.403.4117.10</t>
  </si>
  <si>
    <t>511.403.4201.10</t>
  </si>
  <si>
    <t>511.403.4203.10</t>
  </si>
  <si>
    <t>RURAL LAW ENFORCEMENT ASSISTANCE</t>
  </si>
  <si>
    <t>100.330.3209.00</t>
  </si>
  <si>
    <t>Updated 7/25/2023</t>
  </si>
  <si>
    <t>Note:  On-Site Sewage Services is included in the Sheriff's Office in FY2024</t>
  </si>
  <si>
    <t>Note:  Fire Marshal is included in the Sheriff's Office in FY2024</t>
  </si>
  <si>
    <t>Note:  Fire Marshal and On-Site Sewage Services are included in the Sheriff's Office for FY2024</t>
  </si>
  <si>
    <t>100.454.4154.20</t>
  </si>
  <si>
    <t>SALARY - GRANT</t>
  </si>
  <si>
    <t>100.561.4154.45</t>
  </si>
  <si>
    <t>100.564.4154.45</t>
  </si>
  <si>
    <t>100.565.4154.45</t>
  </si>
  <si>
    <t>Updated per email from Liz Vaughn 8/4/2023</t>
  </si>
  <si>
    <t>Updated 8/5/2023</t>
  </si>
  <si>
    <t>TAX ON ADJUSTED VALUE @ $.2849/$100</t>
  </si>
  <si>
    <t>550.520.4154.45</t>
  </si>
  <si>
    <t>460.576.4154.45</t>
  </si>
  <si>
    <t>22-23</t>
  </si>
  <si>
    <t>37-38</t>
  </si>
  <si>
    <t>39-40</t>
  </si>
  <si>
    <t>41-44</t>
  </si>
  <si>
    <t>46-52</t>
  </si>
  <si>
    <t>63-64</t>
  </si>
  <si>
    <r>
      <t>The tax revenues are distributed based on a tax levy of</t>
    </r>
    <r>
      <rPr>
        <b/>
        <sz val="11"/>
        <color rgb="FFC00000"/>
        <rFont val="Arial"/>
        <family val="2"/>
      </rPr>
      <t xml:space="preserve"> </t>
    </r>
    <r>
      <rPr>
        <sz val="11"/>
        <rFont val="Arial"/>
        <family val="2"/>
      </rPr>
      <t>$.2849 per $100 assessed valuation.</t>
    </r>
  </si>
  <si>
    <t>2023-2024 ADOPTED BUDGET</t>
  </si>
  <si>
    <t>September 12, 2023</t>
  </si>
  <si>
    <t>100.401.4118.10</t>
  </si>
  <si>
    <t>100.495.4118.30</t>
  </si>
  <si>
    <t>total $40,498,071.</t>
  </si>
  <si>
    <t>TBD</t>
  </si>
  <si>
    <t>2023 SECURED EQUIPMENT (TBD)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</si>
</sst>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00%"/>
    <numFmt numFmtId="166" formatCode="0.000"/>
    <numFmt numFmtId="167" formatCode="&quot;$&quot;#,##0"/>
    <numFmt numFmtId="168" formatCode="0.000_);\(0.000\)"/>
    <numFmt numFmtId="169" formatCode="_(* #,##0_);_(* \(#,##0\);_(* &quot;-&quot;??_);_(@_)"/>
    <numFmt numFmtId="170" formatCode="_(* #,##0.0000_);_(* \(#,##0.0000\);_(* &quot;-&quot;?????_);_(@_)"/>
    <numFmt numFmtId="171" formatCode="_(* #,##0.00_);_(* \(#,##0.00\);_(* &quot;-&quot;_);_(@_)"/>
    <numFmt numFmtId="172" formatCode="#,##0.00000000000_);\(#,##0.00000000000\)"/>
    <numFmt numFmtId="173" formatCode="_(* #,##0.00000_);_(* \(#,##0.00000\);_(* &quot;-&quot;?????_);_(@_)"/>
    <numFmt numFmtId="174" formatCode="_(* #,##0.00000_);_(* \(#,##0.00000\);_(* &quot;-&quot;??_);_(@_)"/>
    <numFmt numFmtId="175" formatCode="_(* #,##0.0_);_(* \(#,##0.0\);_(* &quot;-&quot;_);_(@_)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b/>
      <sz val="11"/>
      <color rgb="FFC0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i/>
      <sz val="10"/>
      <color rgb="FFC00000"/>
      <name val="Arial"/>
      <family val="2"/>
    </font>
    <font>
      <sz val="10"/>
      <color rgb="FFC0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b/>
      <i/>
      <sz val="8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9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</cellStyleXfs>
  <cellXfs count="259">
    <xf numFmtId="0" fontId="0" fillId="0" borderId="0" xfId="0"/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5" fontId="0" fillId="0" borderId="0" xfId="0" applyNumberFormat="1"/>
    <xf numFmtId="37" fontId="0" fillId="0" borderId="0" xfId="0" applyNumberFormat="1"/>
    <xf numFmtId="41" fontId="0" fillId="0" borderId="0" xfId="0" applyNumberFormat="1"/>
    <xf numFmtId="37" fontId="0" fillId="0" borderId="1" xfId="0" applyNumberFormat="1" applyBorder="1"/>
    <xf numFmtId="41" fontId="0" fillId="0" borderId="1" xfId="0" applyNumberFormat="1" applyBorder="1"/>
    <xf numFmtId="0" fontId="0" fillId="0" borderId="0" xfId="0" applyAlignment="1">
      <alignment horizontal="right"/>
    </xf>
    <xf numFmtId="5" fontId="0" fillId="0" borderId="2" xfId="0" applyNumberFormat="1" applyBorder="1"/>
    <xf numFmtId="5" fontId="0" fillId="0" borderId="3" xfId="0" applyNumberFormat="1" applyBorder="1"/>
    <xf numFmtId="49" fontId="0" fillId="0" borderId="0" xfId="0" applyNumberFormat="1"/>
    <xf numFmtId="41" fontId="4" fillId="0" borderId="0" xfId="0" applyNumberFormat="1" applyFont="1"/>
    <xf numFmtId="41" fontId="1" fillId="0" borderId="0" xfId="0" applyNumberFormat="1" applyFont="1"/>
    <xf numFmtId="41" fontId="4" fillId="0" borderId="1" xfId="0" applyNumberFormat="1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5" fontId="1" fillId="0" borderId="0" xfId="0" applyNumberFormat="1" applyFont="1"/>
    <xf numFmtId="167" fontId="0" fillId="0" borderId="0" xfId="0" applyNumberFormat="1"/>
    <xf numFmtId="167" fontId="0" fillId="0" borderId="1" xfId="0" applyNumberFormat="1" applyBorder="1"/>
    <xf numFmtId="167" fontId="0" fillId="0" borderId="2" xfId="0" applyNumberFormat="1" applyBorder="1"/>
    <xf numFmtId="41" fontId="1" fillId="0" borderId="0" xfId="1" applyNumberFormat="1"/>
    <xf numFmtId="43" fontId="0" fillId="0" borderId="0" xfId="0" applyNumberFormat="1"/>
    <xf numFmtId="168" fontId="0" fillId="0" borderId="0" xfId="0" applyNumberFormat="1"/>
    <xf numFmtId="168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3" fontId="0" fillId="0" borderId="0" xfId="0" applyNumberFormat="1"/>
    <xf numFmtId="5" fontId="4" fillId="0" borderId="0" xfId="0" applyNumberFormat="1" applyFont="1"/>
    <xf numFmtId="49" fontId="1" fillId="0" borderId="0" xfId="0" applyNumberFormat="1" applyFont="1"/>
    <xf numFmtId="41" fontId="0" fillId="0" borderId="3" xfId="0" applyNumberFormat="1" applyBorder="1"/>
    <xf numFmtId="41" fontId="1" fillId="0" borderId="1" xfId="0" applyNumberFormat="1" applyFont="1" applyBorder="1"/>
    <xf numFmtId="41" fontId="0" fillId="0" borderId="4" xfId="0" applyNumberFormat="1" applyBorder="1"/>
    <xf numFmtId="0" fontId="1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3" fontId="1" fillId="0" borderId="0" xfId="0" applyNumberFormat="1" applyFont="1"/>
    <xf numFmtId="0" fontId="3" fillId="0" borderId="1" xfId="0" applyFont="1" applyBorder="1"/>
    <xf numFmtId="1" fontId="6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3" fillId="0" borderId="1" xfId="0" applyNumberFormat="1" applyFont="1" applyBorder="1" applyAlignment="1">
      <alignment horizontal="center"/>
    </xf>
    <xf numFmtId="4" fontId="0" fillId="0" borderId="0" xfId="0" applyNumberFormat="1"/>
    <xf numFmtId="7" fontId="0" fillId="0" borderId="0" xfId="0" applyNumberFormat="1"/>
    <xf numFmtId="49" fontId="4" fillId="0" borderId="0" xfId="0" applyNumberFormat="1" applyFont="1"/>
    <xf numFmtId="0" fontId="1" fillId="0" borderId="0" xfId="0" applyFont="1" applyAlignment="1">
      <alignment horizontal="left"/>
    </xf>
    <xf numFmtId="0" fontId="10" fillId="0" borderId="0" xfId="0" applyFont="1"/>
    <xf numFmtId="1" fontId="10" fillId="0" borderId="0" xfId="0" applyNumberFormat="1" applyFont="1"/>
    <xf numFmtId="43" fontId="10" fillId="0" borderId="0" xfId="1" applyFont="1" applyFill="1"/>
    <xf numFmtId="0" fontId="12" fillId="0" borderId="0" xfId="0" applyFont="1"/>
    <xf numFmtId="1" fontId="12" fillId="0" borderId="0" xfId="0" applyNumberFormat="1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" fontId="10" fillId="0" borderId="0" xfId="0" applyNumberFormat="1" applyFont="1" applyAlignment="1">
      <alignment horizontal="right"/>
    </xf>
    <xf numFmtId="0" fontId="9" fillId="0" borderId="0" xfId="0" applyFont="1"/>
    <xf numFmtId="0" fontId="8" fillId="0" borderId="0" xfId="0" applyFont="1"/>
    <xf numFmtId="1" fontId="8" fillId="0" borderId="0" xfId="0" applyNumberFormat="1" applyFont="1"/>
    <xf numFmtId="5" fontId="8" fillId="0" borderId="0" xfId="0" applyNumberFormat="1" applyFont="1"/>
    <xf numFmtId="3" fontId="8" fillId="0" borderId="0" xfId="0" applyNumberFormat="1" applyFont="1"/>
    <xf numFmtId="37" fontId="8" fillId="0" borderId="1" xfId="0" applyNumberFormat="1" applyFont="1" applyBorder="1"/>
    <xf numFmtId="37" fontId="8" fillId="0" borderId="0" xfId="0" applyNumberFormat="1" applyFont="1"/>
    <xf numFmtId="5" fontId="8" fillId="0" borderId="2" xfId="0" applyNumberFormat="1" applyFont="1" applyBorder="1"/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3" fontId="8" fillId="0" borderId="1" xfId="0" applyNumberFormat="1" applyFont="1" applyBorder="1"/>
    <xf numFmtId="0" fontId="9" fillId="0" borderId="0" xfId="0" applyFont="1" applyAlignment="1">
      <alignment horizontal="right"/>
    </xf>
    <xf numFmtId="10" fontId="8" fillId="0" borderId="0" xfId="0" applyNumberFormat="1" applyFont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wrapText="1"/>
    </xf>
    <xf numFmtId="14" fontId="8" fillId="0" borderId="0" xfId="0" applyNumberFormat="1" applyFont="1" applyAlignment="1">
      <alignment horizontal="center" vertical="top" wrapText="1"/>
    </xf>
    <xf numFmtId="5" fontId="8" fillId="0" borderId="0" xfId="0" applyNumberFormat="1" applyFont="1" applyAlignment="1">
      <alignment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14" fontId="8" fillId="0" borderId="0" xfId="0" applyNumberFormat="1" applyFont="1" applyAlignment="1">
      <alignment horizontal="center" vertical="top"/>
    </xf>
    <xf numFmtId="167" fontId="8" fillId="0" borderId="2" xfId="0" applyNumberFormat="1" applyFont="1" applyBorder="1"/>
    <xf numFmtId="3" fontId="9" fillId="0" borderId="1" xfId="0" applyNumberFormat="1" applyFont="1" applyBorder="1" applyAlignment="1">
      <alignment horizontal="center"/>
    </xf>
    <xf numFmtId="6" fontId="0" fillId="0" borderId="0" xfId="0" applyNumberFormat="1"/>
    <xf numFmtId="0" fontId="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5" fontId="0" fillId="0" borderId="0" xfId="0" applyNumberFormat="1" applyAlignment="1">
      <alignment horizontal="center"/>
    </xf>
    <xf numFmtId="38" fontId="0" fillId="0" borderId="1" xfId="0" applyNumberFormat="1" applyBorder="1"/>
    <xf numFmtId="37" fontId="8" fillId="0" borderId="0" xfId="0" applyNumberFormat="1" applyFont="1" applyAlignment="1">
      <alignment vertical="top"/>
    </xf>
    <xf numFmtId="1" fontId="8" fillId="0" borderId="0" xfId="0" applyNumberFormat="1" applyFont="1" applyAlignment="1">
      <alignment horizontal="center"/>
    </xf>
    <xf numFmtId="43" fontId="0" fillId="0" borderId="0" xfId="1" applyFont="1"/>
    <xf numFmtId="167" fontId="1" fillId="0" borderId="0" xfId="0" applyNumberFormat="1" applyFont="1"/>
    <xf numFmtId="169" fontId="0" fillId="0" borderId="0" xfId="1" applyNumberFormat="1" applyFont="1"/>
    <xf numFmtId="169" fontId="0" fillId="0" borderId="0" xfId="0" applyNumberFormat="1"/>
    <xf numFmtId="169" fontId="8" fillId="0" borderId="5" xfId="1" applyNumberFormat="1" applyFont="1" applyFill="1" applyBorder="1"/>
    <xf numFmtId="9" fontId="8" fillId="0" borderId="0" xfId="10" applyFont="1" applyFill="1"/>
    <xf numFmtId="170" fontId="0" fillId="0" borderId="0" xfId="0" applyNumberFormat="1"/>
    <xf numFmtId="165" fontId="0" fillId="0" borderId="0" xfId="10" applyNumberFormat="1" applyFont="1"/>
    <xf numFmtId="169" fontId="0" fillId="0" borderId="0" xfId="1" applyNumberFormat="1" applyFont="1" applyFill="1"/>
    <xf numFmtId="0" fontId="8" fillId="0" borderId="5" xfId="0" applyFont="1" applyBorder="1"/>
    <xf numFmtId="5" fontId="8" fillId="0" borderId="2" xfId="0" applyNumberFormat="1" applyFont="1" applyBorder="1" applyAlignment="1">
      <alignment horizontal="right"/>
    </xf>
    <xf numFmtId="0" fontId="8" fillId="0" borderId="0" xfId="0" applyFont="1" applyAlignment="1">
      <alignment horizontal="center" vertical="top"/>
    </xf>
    <xf numFmtId="41" fontId="3" fillId="0" borderId="0" xfId="0" applyNumberFormat="1" applyFont="1" applyAlignment="1">
      <alignment horizontal="center"/>
    </xf>
    <xf numFmtId="41" fontId="4" fillId="0" borderId="4" xfId="0" applyNumberFormat="1" applyFont="1" applyBorder="1"/>
    <xf numFmtId="43" fontId="0" fillId="0" borderId="0" xfId="1" applyFont="1" applyBorder="1"/>
    <xf numFmtId="171" fontId="0" fillId="0" borderId="0" xfId="0" applyNumberFormat="1"/>
    <xf numFmtId="0" fontId="3" fillId="0" borderId="0" xfId="0" applyFont="1" applyAlignment="1">
      <alignment horizontal="right" wrapText="1"/>
    </xf>
    <xf numFmtId="7" fontId="17" fillId="0" borderId="0" xfId="0" applyNumberFormat="1" applyFont="1"/>
    <xf numFmtId="165" fontId="8" fillId="0" borderId="1" xfId="0" applyNumberFormat="1" applyFont="1" applyBorder="1"/>
    <xf numFmtId="0" fontId="1" fillId="0" borderId="0" xfId="0" applyFont="1" applyAlignment="1">
      <alignment horizontal="right"/>
    </xf>
    <xf numFmtId="39" fontId="0" fillId="0" borderId="0" xfId="0" applyNumberFormat="1"/>
    <xf numFmtId="0" fontId="18" fillId="0" borderId="0" xfId="0" applyFont="1" applyAlignment="1">
      <alignment horizontal="center"/>
    </xf>
    <xf numFmtId="169" fontId="1" fillId="0" borderId="0" xfId="0" applyNumberFormat="1" applyFont="1"/>
    <xf numFmtId="169" fontId="1" fillId="0" borderId="0" xfId="1" applyNumberFormat="1" applyFont="1" applyFill="1"/>
    <xf numFmtId="0" fontId="20" fillId="0" borderId="0" xfId="0" applyFont="1"/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41" fontId="0" fillId="0" borderId="5" xfId="0" applyNumberFormat="1" applyBorder="1"/>
    <xf numFmtId="166" fontId="21" fillId="0" borderId="0" xfId="0" applyNumberFormat="1" applyFont="1" applyAlignment="1">
      <alignment horizontal="left"/>
    </xf>
    <xf numFmtId="41" fontId="3" fillId="0" borderId="1" xfId="0" applyNumberFormat="1" applyFont="1" applyBorder="1" applyAlignment="1">
      <alignment horizontal="center"/>
    </xf>
    <xf numFmtId="0" fontId="22" fillId="0" borderId="0" xfId="0" applyFont="1"/>
    <xf numFmtId="166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172" fontId="0" fillId="0" borderId="0" xfId="0" applyNumberFormat="1"/>
    <xf numFmtId="41" fontId="0" fillId="0" borderId="2" xfId="0" applyNumberFormat="1" applyBorder="1"/>
    <xf numFmtId="43" fontId="3" fillId="0" borderId="0" xfId="0" applyNumberFormat="1" applyFont="1" applyAlignment="1">
      <alignment horizontal="center"/>
    </xf>
    <xf numFmtId="43" fontId="0" fillId="0" borderId="0" xfId="1" applyFont="1" applyFill="1"/>
    <xf numFmtId="169" fontId="3" fillId="0" borderId="0" xfId="1" applyNumberFormat="1" applyFont="1" applyFill="1" applyAlignment="1">
      <alignment horizontal="center"/>
    </xf>
    <xf numFmtId="169" fontId="3" fillId="0" borderId="1" xfId="1" applyNumberFormat="1" applyFont="1" applyBorder="1" applyAlignment="1">
      <alignment horizontal="center"/>
    </xf>
    <xf numFmtId="169" fontId="0" fillId="0" borderId="1" xfId="1" applyNumberFormat="1" applyFont="1" applyFill="1" applyBorder="1"/>
    <xf numFmtId="169" fontId="0" fillId="0" borderId="4" xfId="1" applyNumberFormat="1" applyFont="1" applyFill="1" applyBorder="1"/>
    <xf numFmtId="169" fontId="4" fillId="0" borderId="0" xfId="1" applyNumberFormat="1" applyFont="1" applyFill="1"/>
    <xf numFmtId="169" fontId="0" fillId="0" borderId="0" xfId="1" applyNumberFormat="1" applyFont="1" applyFill="1" applyBorder="1"/>
    <xf numFmtId="169" fontId="0" fillId="0" borderId="3" xfId="1" applyNumberFormat="1" applyFont="1" applyFill="1" applyBorder="1"/>
    <xf numFmtId="169" fontId="4" fillId="0" borderId="0" xfId="1" applyNumberFormat="1" applyFont="1" applyFill="1" applyBorder="1"/>
    <xf numFmtId="169" fontId="0" fillId="0" borderId="5" xfId="1" applyNumberFormat="1" applyFont="1" applyFill="1" applyBorder="1"/>
    <xf numFmtId="173" fontId="8" fillId="0" borderId="0" xfId="0" applyNumberFormat="1" applyFont="1"/>
    <xf numFmtId="173" fontId="8" fillId="0" borderId="1" xfId="0" applyNumberFormat="1" applyFont="1" applyBorder="1"/>
    <xf numFmtId="169" fontId="3" fillId="0" borderId="1" xfId="1" applyNumberFormat="1" applyFont="1" applyFill="1" applyBorder="1" applyAlignment="1">
      <alignment horizontal="center"/>
    </xf>
    <xf numFmtId="169" fontId="4" fillId="0" borderId="4" xfId="1" applyNumberFormat="1" applyFont="1" applyFill="1" applyBorder="1"/>
    <xf numFmtId="169" fontId="0" fillId="0" borderId="0" xfId="1" applyNumberFormat="1" applyFont="1" applyFill="1" applyBorder="1" applyAlignment="1"/>
    <xf numFmtId="0" fontId="21" fillId="2" borderId="0" xfId="0" applyFont="1" applyFill="1"/>
    <xf numFmtId="169" fontId="8" fillId="0" borderId="0" xfId="1" applyNumberFormat="1" applyFont="1" applyFill="1"/>
    <xf numFmtId="0" fontId="8" fillId="0" borderId="0" xfId="0" applyFont="1" applyAlignment="1">
      <alignment horizontal="left"/>
    </xf>
    <xf numFmtId="9" fontId="0" fillId="0" borderId="0" xfId="10" applyFont="1"/>
    <xf numFmtId="10" fontId="0" fillId="0" borderId="0" xfId="10" applyNumberFormat="1" applyFont="1"/>
    <xf numFmtId="0" fontId="0" fillId="0" borderId="0" xfId="0" applyAlignment="1">
      <alignment horizontal="left" indent="3"/>
    </xf>
    <xf numFmtId="0" fontId="1" fillId="0" borderId="0" xfId="0" applyFont="1" applyAlignment="1">
      <alignment horizontal="left" indent="3"/>
    </xf>
    <xf numFmtId="41" fontId="0" fillId="0" borderId="0" xfId="1" applyNumberFormat="1" applyFont="1" applyFill="1"/>
    <xf numFmtId="174" fontId="8" fillId="0" borderId="0" xfId="0" applyNumberFormat="1" applyFont="1"/>
    <xf numFmtId="44" fontId="8" fillId="0" borderId="0" xfId="11" applyFont="1" applyFill="1"/>
    <xf numFmtId="165" fontId="8" fillId="0" borderId="0" xfId="10" applyNumberFormat="1" applyFont="1" applyFill="1"/>
    <xf numFmtId="49" fontId="8" fillId="0" borderId="0" xfId="0" quotePrefix="1" applyNumberFormat="1" applyFont="1" applyAlignment="1">
      <alignment horizontal="left"/>
    </xf>
    <xf numFmtId="169" fontId="4" fillId="0" borderId="0" xfId="0" applyNumberFormat="1" applyFont="1"/>
    <xf numFmtId="169" fontId="0" fillId="0" borderId="4" xfId="0" applyNumberFormat="1" applyBorder="1"/>
    <xf numFmtId="41" fontId="1" fillId="0" borderId="0" xfId="1" applyNumberFormat="1" applyFont="1" applyFill="1" applyBorder="1"/>
    <xf numFmtId="41" fontId="0" fillId="0" borderId="4" xfId="1" applyNumberFormat="1" applyFont="1" applyFill="1" applyBorder="1"/>
    <xf numFmtId="41" fontId="1" fillId="0" borderId="0" xfId="1" applyNumberFormat="1" applyFont="1" applyFill="1"/>
    <xf numFmtId="41" fontId="0" fillId="0" borderId="1" xfId="1" applyNumberFormat="1" applyFont="1" applyFill="1" applyBorder="1"/>
    <xf numFmtId="41" fontId="4" fillId="0" borderId="0" xfId="1" applyNumberFormat="1" applyFont="1" applyFill="1"/>
    <xf numFmtId="41" fontId="0" fillId="0" borderId="0" xfId="1" applyNumberFormat="1" applyFont="1" applyFill="1" applyBorder="1"/>
    <xf numFmtId="41" fontId="0" fillId="0" borderId="5" xfId="1" applyNumberFormat="1" applyFont="1" applyBorder="1"/>
    <xf numFmtId="41" fontId="0" fillId="0" borderId="3" xfId="1" applyNumberFormat="1" applyFont="1" applyFill="1" applyBorder="1"/>
    <xf numFmtId="41" fontId="3" fillId="0" borderId="0" xfId="1" applyNumberFormat="1" applyFont="1" applyFill="1" applyAlignment="1">
      <alignment horizontal="center"/>
    </xf>
    <xf numFmtId="41" fontId="3" fillId="0" borderId="1" xfId="1" applyNumberFormat="1" applyFont="1" applyBorder="1" applyAlignment="1">
      <alignment horizontal="center"/>
    </xf>
    <xf numFmtId="41" fontId="4" fillId="0" borderId="0" xfId="1" applyNumberFormat="1" applyFont="1" applyFill="1" applyBorder="1"/>
    <xf numFmtId="41" fontId="0" fillId="0" borderId="5" xfId="1" applyNumberFormat="1" applyFont="1" applyFill="1" applyBorder="1"/>
    <xf numFmtId="41" fontId="0" fillId="0" borderId="0" xfId="11" applyNumberFormat="1" applyFont="1"/>
    <xf numFmtId="41" fontId="0" fillId="0" borderId="0" xfId="11" applyNumberFormat="1" applyFont="1" applyFill="1"/>
    <xf numFmtId="41" fontId="0" fillId="0" borderId="1" xfId="11" applyNumberFormat="1" applyFont="1" applyBorder="1"/>
    <xf numFmtId="41" fontId="0" fillId="0" borderId="1" xfId="11" applyNumberFormat="1" applyFont="1" applyFill="1" applyBorder="1"/>
    <xf numFmtId="41" fontId="0" fillId="0" borderId="3" xfId="11" applyNumberFormat="1" applyFont="1" applyBorder="1"/>
    <xf numFmtId="41" fontId="0" fillId="0" borderId="3" xfId="11" applyNumberFormat="1" applyFont="1" applyFill="1" applyBorder="1"/>
    <xf numFmtId="41" fontId="0" fillId="0" borderId="0" xfId="11" applyNumberFormat="1" applyFont="1" applyBorder="1"/>
    <xf numFmtId="41" fontId="0" fillId="0" borderId="0" xfId="11" applyNumberFormat="1" applyFont="1" applyFill="1" applyBorder="1"/>
    <xf numFmtId="41" fontId="3" fillId="0" borderId="0" xfId="11" applyNumberFormat="1" applyFont="1" applyAlignment="1">
      <alignment horizontal="center"/>
    </xf>
    <xf numFmtId="41" fontId="3" fillId="0" borderId="0" xfId="11" applyNumberFormat="1" applyFont="1" applyFill="1" applyAlignment="1">
      <alignment horizontal="center"/>
    </xf>
    <xf numFmtId="41" fontId="3" fillId="0" borderId="1" xfId="11" applyNumberFormat="1" applyFont="1" applyBorder="1" applyAlignment="1">
      <alignment horizontal="center"/>
    </xf>
    <xf numFmtId="41" fontId="0" fillId="0" borderId="0" xfId="1" applyNumberFormat="1" applyFont="1" applyBorder="1"/>
    <xf numFmtId="41" fontId="18" fillId="0" borderId="0" xfId="0" applyNumberFormat="1" applyFont="1" applyAlignment="1">
      <alignment horizontal="center"/>
    </xf>
    <xf numFmtId="41" fontId="4" fillId="0" borderId="3" xfId="0" applyNumberFormat="1" applyFont="1" applyBorder="1"/>
    <xf numFmtId="41" fontId="4" fillId="0" borderId="0" xfId="11" applyNumberFormat="1" applyFont="1" applyBorder="1"/>
    <xf numFmtId="41" fontId="4" fillId="0" borderId="0" xfId="11" applyNumberFormat="1" applyFont="1" applyFill="1" applyBorder="1"/>
    <xf numFmtId="41" fontId="0" fillId="0" borderId="2" xfId="11" applyNumberFormat="1" applyFont="1" applyBorder="1"/>
    <xf numFmtId="41" fontId="0" fillId="0" borderId="2" xfId="11" applyNumberFormat="1" applyFont="1" applyFill="1" applyBorder="1"/>
    <xf numFmtId="41" fontId="4" fillId="0" borderId="5" xfId="0" applyNumberFormat="1" applyFont="1" applyBorder="1"/>
    <xf numFmtId="169" fontId="0" fillId="0" borderId="5" xfId="0" applyNumberFormat="1" applyBorder="1"/>
    <xf numFmtId="49" fontId="21" fillId="0" borderId="0" xfId="0" applyNumberFormat="1" applyFont="1"/>
    <xf numFmtId="175" fontId="0" fillId="0" borderId="0" xfId="0" applyNumberFormat="1"/>
    <xf numFmtId="9" fontId="0" fillId="0" borderId="0" xfId="10" applyFont="1" applyFill="1"/>
    <xf numFmtId="49" fontId="21" fillId="0" borderId="0" xfId="0" applyNumberFormat="1" applyFont="1" applyAlignment="1">
      <alignment horizontal="left"/>
    </xf>
    <xf numFmtId="0" fontId="21" fillId="0" borderId="0" xfId="0" quotePrefix="1" applyFont="1"/>
    <xf numFmtId="0" fontId="21" fillId="0" borderId="0" xfId="0" applyFont="1" applyAlignment="1">
      <alignment horizontal="left"/>
    </xf>
    <xf numFmtId="166" fontId="21" fillId="0" borderId="0" xfId="0" quotePrefix="1" applyNumberFormat="1" applyFont="1" applyAlignment="1">
      <alignment horizontal="left"/>
    </xf>
    <xf numFmtId="0" fontId="21" fillId="0" borderId="0" xfId="0" quotePrefix="1" applyFont="1" applyAlignment="1">
      <alignment horizontal="left"/>
    </xf>
    <xf numFmtId="49" fontId="21" fillId="0" borderId="0" xfId="0" quotePrefix="1" applyNumberFormat="1" applyFont="1"/>
    <xf numFmtId="168" fontId="21" fillId="0" borderId="0" xfId="0" applyNumberFormat="1" applyFont="1" applyAlignment="1">
      <alignment horizontal="left"/>
    </xf>
    <xf numFmtId="0" fontId="23" fillId="0" borderId="0" xfId="0" applyFont="1"/>
    <xf numFmtId="43" fontId="23" fillId="0" borderId="0" xfId="1" applyFont="1"/>
    <xf numFmtId="0" fontId="23" fillId="0" borderId="0" xfId="0" applyFont="1" applyAlignment="1">
      <alignment horizontal="center"/>
    </xf>
    <xf numFmtId="41" fontId="1" fillId="3" borderId="0" xfId="1" applyNumberFormat="1" applyFont="1" applyFill="1" applyBorder="1"/>
    <xf numFmtId="41" fontId="0" fillId="3" borderId="0" xfId="0" applyNumberFormat="1" applyFill="1"/>
    <xf numFmtId="169" fontId="0" fillId="0" borderId="1" xfId="1" applyNumberFormat="1" applyFont="1" applyBorder="1"/>
    <xf numFmtId="10" fontId="0" fillId="0" borderId="6" xfId="10" applyNumberFormat="1" applyFont="1" applyBorder="1"/>
    <xf numFmtId="37" fontId="1" fillId="0" borderId="0" xfId="0" applyNumberFormat="1" applyFont="1"/>
    <xf numFmtId="44" fontId="0" fillId="0" borderId="0" xfId="11" applyFont="1" applyFill="1"/>
    <xf numFmtId="0" fontId="1" fillId="3" borderId="0" xfId="0" applyFont="1" applyFill="1"/>
    <xf numFmtId="41" fontId="3" fillId="0" borderId="5" xfId="0" applyNumberFormat="1" applyFont="1" applyBorder="1" applyAlignment="1">
      <alignment horizontal="center"/>
    </xf>
    <xf numFmtId="171" fontId="1" fillId="0" borderId="0" xfId="0" applyNumberFormat="1" applyFont="1"/>
    <xf numFmtId="171" fontId="4" fillId="0" borderId="0" xfId="0" applyNumberFormat="1" applyFont="1"/>
    <xf numFmtId="171" fontId="0" fillId="0" borderId="1" xfId="0" applyNumberFormat="1" applyBorder="1"/>
    <xf numFmtId="171" fontId="3" fillId="0" borderId="0" xfId="0" applyNumberFormat="1" applyFont="1" applyAlignment="1">
      <alignment horizontal="center"/>
    </xf>
    <xf numFmtId="171" fontId="3" fillId="0" borderId="1" xfId="0" applyNumberFormat="1" applyFont="1" applyBorder="1" applyAlignment="1">
      <alignment horizontal="center"/>
    </xf>
    <xf numFmtId="171" fontId="0" fillId="0" borderId="4" xfId="0" applyNumberFormat="1" applyBorder="1"/>
    <xf numFmtId="171" fontId="0" fillId="0" borderId="3" xfId="0" applyNumberFormat="1" applyBorder="1"/>
    <xf numFmtId="171" fontId="3" fillId="0" borderId="5" xfId="0" applyNumberFormat="1" applyFont="1" applyBorder="1" applyAlignment="1">
      <alignment horizontal="center"/>
    </xf>
    <xf numFmtId="168" fontId="1" fillId="0" borderId="0" xfId="0" applyNumberFormat="1" applyFont="1" applyAlignment="1">
      <alignment horizontal="left"/>
    </xf>
    <xf numFmtId="171" fontId="0" fillId="0" borderId="2" xfId="0" applyNumberFormat="1" applyBorder="1"/>
    <xf numFmtId="169" fontId="1" fillId="0" borderId="0" xfId="1" applyNumberFormat="1" applyFont="1"/>
    <xf numFmtId="3" fontId="3" fillId="0" borderId="0" xfId="0" applyNumberFormat="1" applyFont="1"/>
    <xf numFmtId="5" fontId="1" fillId="0" borderId="1" xfId="0" applyNumberFormat="1" applyFont="1" applyBorder="1"/>
    <xf numFmtId="49" fontId="26" fillId="0" borderId="0" xfId="0" applyNumberFormat="1" applyFont="1"/>
    <xf numFmtId="49" fontId="1" fillId="4" borderId="0" xfId="0" applyNumberFormat="1" applyFont="1" applyFill="1"/>
    <xf numFmtId="0" fontId="26" fillId="0" borderId="0" xfId="0" applyFont="1" applyAlignment="1">
      <alignment horizontal="left"/>
    </xf>
    <xf numFmtId="43" fontId="23" fillId="0" borderId="0" xfId="1" applyFont="1" applyFill="1"/>
    <xf numFmtId="43" fontId="23" fillId="0" borderId="0" xfId="1" applyFont="1" applyFill="1" applyBorder="1"/>
    <xf numFmtId="43" fontId="23" fillId="0" borderId="0" xfId="0" applyNumberFormat="1" applyFont="1"/>
    <xf numFmtId="0" fontId="0" fillId="0" borderId="0" xfId="0" applyFill="1"/>
    <xf numFmtId="43" fontId="23" fillId="0" borderId="0" xfId="1" applyFont="1" applyBorder="1"/>
    <xf numFmtId="0" fontId="0" fillId="0" borderId="0" xfId="0" applyBorder="1"/>
    <xf numFmtId="1" fontId="27" fillId="0" borderId="0" xfId="0" applyNumberFormat="1" applyFont="1"/>
    <xf numFmtId="41" fontId="0" fillId="0" borderId="0" xfId="0" applyNumberFormat="1" applyFill="1"/>
    <xf numFmtId="41" fontId="0" fillId="0" borderId="0" xfId="0" applyNumberFormat="1" applyBorder="1"/>
    <xf numFmtId="41" fontId="4" fillId="0" borderId="0" xfId="0" applyNumberFormat="1" applyFont="1" applyFill="1"/>
    <xf numFmtId="49" fontId="0" fillId="0" borderId="0" xfId="0" applyNumberFormat="1" applyFill="1"/>
    <xf numFmtId="49" fontId="21" fillId="0" borderId="0" xfId="0" applyNumberFormat="1" applyFont="1" applyFill="1"/>
    <xf numFmtId="49" fontId="4" fillId="0" borderId="0" xfId="0" applyNumberFormat="1" applyFont="1" applyFill="1"/>
    <xf numFmtId="49" fontId="1" fillId="0" borderId="0" xfId="0" applyNumberFormat="1" applyFont="1" applyFill="1"/>
    <xf numFmtId="166" fontId="21" fillId="0" borderId="0" xfId="0" applyNumberFormat="1" applyFont="1" applyFill="1" applyAlignment="1">
      <alignment horizontal="left"/>
    </xf>
    <xf numFmtId="166" fontId="0" fillId="0" borderId="0" xfId="0" applyNumberFormat="1" applyFill="1" applyAlignment="1">
      <alignment horizontal="left"/>
    </xf>
    <xf numFmtId="49" fontId="5" fillId="0" borderId="0" xfId="0" applyNumberFormat="1" applyFont="1" applyFill="1"/>
    <xf numFmtId="49" fontId="21" fillId="0" borderId="0" xfId="0" quotePrefix="1" applyNumberFormat="1" applyFont="1" applyFill="1"/>
    <xf numFmtId="0" fontId="7" fillId="0" borderId="0" xfId="0" applyFont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4" fontId="7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/>
    </xf>
  </cellXfs>
  <cellStyles count="14">
    <cellStyle name="Comma" xfId="1" builtinId="3"/>
    <cellStyle name="Comma 2" xfId="13"/>
    <cellStyle name="Currency" xfId="11" builtinId="4"/>
    <cellStyle name="Normal" xfId="0" builtinId="0"/>
    <cellStyle name="Normal 10" xfId="12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  <cellStyle name="Percent" xfId="10" builtinId="5"/>
  </cellStyles>
  <dxfs count="0"/>
  <tableStyles count="0" defaultTableStyle="TableStyleMedium2" defaultPivotStyle="PivotStyleLight16"/>
  <colors>
    <mruColors>
      <color rgb="FF00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193385</xdr:colOff>
      <xdr:row>435</xdr:row>
      <xdr:rowOff>116973</xdr:rowOff>
    </xdr:from>
    <xdr:ext cx="184730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 rot="19588349">
          <a:off x="3489035" y="77259948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5:Q573"/>
  <sheetViews>
    <sheetView zoomScale="110" zoomScaleNormal="110" workbookViewId="0"/>
  </sheetViews>
  <sheetFormatPr defaultRowHeight="12.75" x14ac:dyDescent="0.2"/>
  <cols>
    <col min="1" max="1" width="9.28515625" customWidth="1"/>
    <col min="2" max="2" width="19.28515625" customWidth="1"/>
    <col min="3" max="3" width="10.85546875" customWidth="1"/>
    <col min="4" max="4" width="11.7109375" customWidth="1"/>
    <col min="5" max="5" width="14.7109375" customWidth="1"/>
    <col min="6" max="6" width="20.140625" customWidth="1"/>
    <col min="7" max="7" width="14.42578125" customWidth="1"/>
    <col min="8" max="8" width="15.28515625" style="47" customWidth="1"/>
    <col min="9" max="9" width="36.7109375" hidden="1" customWidth="1"/>
    <col min="10" max="10" width="17.42578125" hidden="1" customWidth="1"/>
    <col min="11" max="11" width="13.140625" hidden="1" customWidth="1"/>
    <col min="12" max="12" width="9.140625" hidden="1" customWidth="1"/>
    <col min="13" max="13" width="16.140625" hidden="1" customWidth="1"/>
    <col min="14" max="14" width="15" hidden="1" customWidth="1"/>
    <col min="15" max="15" width="14" hidden="1" customWidth="1"/>
    <col min="16" max="16" width="17.7109375" hidden="1" customWidth="1"/>
    <col min="17" max="17" width="16.5703125" hidden="1" customWidth="1"/>
    <col min="18" max="21" width="9.140625" customWidth="1"/>
  </cols>
  <sheetData>
    <row r="15" spans="1:8" ht="18" x14ac:dyDescent="0.25">
      <c r="A15" s="253" t="s">
        <v>653</v>
      </c>
      <c r="B15" s="254"/>
      <c r="C15" s="254"/>
      <c r="D15" s="254"/>
      <c r="E15" s="254"/>
      <c r="F15" s="254"/>
      <c r="G15" s="254"/>
      <c r="H15" s="254"/>
    </row>
    <row r="16" spans="1:8" ht="18" x14ac:dyDescent="0.25">
      <c r="A16" s="41"/>
      <c r="B16" s="41"/>
      <c r="C16" s="42"/>
      <c r="D16" s="42"/>
      <c r="E16" s="42"/>
      <c r="F16" s="42"/>
      <c r="G16" s="41"/>
      <c r="H16" s="46"/>
    </row>
    <row r="17" spans="1:8" ht="18" x14ac:dyDescent="0.25">
      <c r="A17" s="253" t="s">
        <v>2650</v>
      </c>
      <c r="B17" s="254"/>
      <c r="C17" s="254"/>
      <c r="D17" s="254"/>
      <c r="E17" s="254"/>
      <c r="F17" s="254"/>
      <c r="G17" s="254"/>
      <c r="H17" s="254"/>
    </row>
    <row r="18" spans="1:8" ht="18" x14ac:dyDescent="0.25">
      <c r="A18" s="41"/>
      <c r="B18" s="41"/>
      <c r="C18" s="42"/>
      <c r="D18" s="40" t="s">
        <v>1433</v>
      </c>
      <c r="E18" s="42"/>
      <c r="F18" s="42"/>
      <c r="G18" s="41"/>
      <c r="H18" s="46"/>
    </row>
    <row r="19" spans="1:8" ht="18" x14ac:dyDescent="0.25">
      <c r="A19" s="253" t="s">
        <v>2572</v>
      </c>
      <c r="B19" s="254"/>
      <c r="C19" s="254"/>
      <c r="D19" s="254"/>
      <c r="E19" s="254"/>
      <c r="F19" s="254"/>
      <c r="G19" s="254"/>
      <c r="H19" s="254"/>
    </row>
    <row r="20" spans="1:8" ht="18" x14ac:dyDescent="0.25">
      <c r="A20" s="41"/>
      <c r="B20" s="41"/>
      <c r="C20" s="42"/>
      <c r="D20" s="42"/>
      <c r="E20" s="42"/>
      <c r="F20" s="42"/>
      <c r="G20" s="41"/>
      <c r="H20" s="46"/>
    </row>
    <row r="21" spans="1:8" ht="18" x14ac:dyDescent="0.25">
      <c r="A21" s="257"/>
      <c r="B21" s="254"/>
      <c r="C21" s="254"/>
      <c r="D21" s="254"/>
      <c r="E21" s="254"/>
      <c r="F21" s="254"/>
      <c r="G21" s="254"/>
      <c r="H21" s="254"/>
    </row>
    <row r="45" spans="2:2" x14ac:dyDescent="0.2">
      <c r="B45" t="s">
        <v>1434</v>
      </c>
    </row>
    <row r="66" spans="1:9" x14ac:dyDescent="0.2">
      <c r="B66" s="2" t="s">
        <v>1433</v>
      </c>
    </row>
    <row r="67" spans="1:9" ht="14.25" x14ac:dyDescent="0.2">
      <c r="A67" s="39"/>
      <c r="B67" s="163" t="s">
        <v>2651</v>
      </c>
      <c r="C67" s="54"/>
      <c r="D67" s="54"/>
      <c r="E67" s="54"/>
      <c r="F67" s="54"/>
      <c r="G67" s="54"/>
      <c r="H67" s="55"/>
    </row>
    <row r="68" spans="1:9" ht="14.25" x14ac:dyDescent="0.2">
      <c r="A68" s="39"/>
      <c r="B68" s="54"/>
      <c r="C68" s="54"/>
      <c r="D68" s="54"/>
      <c r="E68" s="54"/>
      <c r="F68" s="54"/>
      <c r="G68" s="54"/>
      <c r="H68" s="55"/>
    </row>
    <row r="69" spans="1:9" ht="14.25" x14ac:dyDescent="0.2">
      <c r="A69" s="39"/>
      <c r="B69" s="54" t="s">
        <v>1435</v>
      </c>
      <c r="C69" s="54"/>
      <c r="D69" s="54"/>
      <c r="E69" s="54"/>
      <c r="F69" s="54"/>
      <c r="G69" s="54"/>
      <c r="H69" s="55"/>
    </row>
    <row r="70" spans="1:9" ht="14.25" x14ac:dyDescent="0.2">
      <c r="A70" s="39"/>
      <c r="B70" s="54"/>
      <c r="C70" s="54"/>
      <c r="D70" s="54"/>
      <c r="E70" s="54"/>
      <c r="F70" s="54"/>
      <c r="G70" s="54"/>
      <c r="H70" s="55"/>
    </row>
    <row r="71" spans="1:9" ht="14.25" x14ac:dyDescent="0.2">
      <c r="A71" s="39"/>
      <c r="B71" s="67" t="s">
        <v>2573</v>
      </c>
      <c r="C71" s="54"/>
      <c r="D71" s="54"/>
      <c r="E71" s="54"/>
      <c r="F71" s="54"/>
      <c r="G71" s="54"/>
      <c r="H71" s="55"/>
    </row>
    <row r="72" spans="1:9" ht="14.25" x14ac:dyDescent="0.2">
      <c r="A72" s="39"/>
      <c r="B72" s="54"/>
      <c r="C72" s="54"/>
      <c r="D72" s="54"/>
      <c r="E72" s="54"/>
      <c r="F72" s="54"/>
      <c r="G72" s="54"/>
      <c r="H72" s="55"/>
    </row>
    <row r="73" spans="1:9" ht="14.25" x14ac:dyDescent="0.2">
      <c r="A73" s="39"/>
      <c r="B73" s="67" t="s">
        <v>1815</v>
      </c>
      <c r="C73" s="54"/>
      <c r="D73" s="54"/>
      <c r="E73" s="54"/>
      <c r="F73" s="54"/>
      <c r="G73" s="54"/>
      <c r="H73" s="55"/>
    </row>
    <row r="74" spans="1:9" ht="14.25" x14ac:dyDescent="0.2">
      <c r="A74" s="39"/>
      <c r="B74" s="67" t="s">
        <v>1816</v>
      </c>
      <c r="C74" s="54"/>
      <c r="D74" s="54"/>
      <c r="E74" s="54"/>
      <c r="F74" s="54"/>
      <c r="G74" s="54"/>
      <c r="H74" s="55"/>
    </row>
    <row r="75" spans="1:9" ht="14.25" x14ac:dyDescent="0.2">
      <c r="A75" s="39"/>
      <c r="B75" s="67" t="s">
        <v>1755</v>
      </c>
      <c r="C75" s="54"/>
      <c r="D75" s="54"/>
      <c r="E75" s="54"/>
      <c r="F75" s="54"/>
      <c r="G75" s="54"/>
      <c r="H75" s="55"/>
    </row>
    <row r="76" spans="1:9" ht="14.25" x14ac:dyDescent="0.2">
      <c r="A76" s="39"/>
      <c r="B76" s="56"/>
      <c r="C76" s="54"/>
      <c r="D76" s="54"/>
      <c r="E76" s="54"/>
      <c r="F76" s="54"/>
      <c r="G76" s="54"/>
      <c r="H76" s="55"/>
    </row>
    <row r="77" spans="1:9" ht="15" x14ac:dyDescent="0.25">
      <c r="A77" s="39"/>
      <c r="B77" s="67" t="s">
        <v>2649</v>
      </c>
      <c r="C77" s="54"/>
      <c r="D77" s="54"/>
      <c r="E77" s="54"/>
      <c r="F77" s="54"/>
      <c r="G77" s="54"/>
      <c r="H77" s="241"/>
    </row>
    <row r="78" spans="1:9" ht="14.25" x14ac:dyDescent="0.2">
      <c r="A78" s="39"/>
      <c r="B78" s="54"/>
      <c r="C78" s="54"/>
      <c r="D78" s="54"/>
      <c r="E78" s="54"/>
      <c r="F78" s="54"/>
      <c r="G78" s="54"/>
      <c r="H78" s="55"/>
    </row>
    <row r="79" spans="1:9" ht="14.25" x14ac:dyDescent="0.2">
      <c r="A79" s="39"/>
      <c r="B79" s="54" t="s">
        <v>650</v>
      </c>
      <c r="C79" s="54"/>
      <c r="D79" s="54"/>
      <c r="E79" s="54"/>
      <c r="F79" s="54"/>
      <c r="G79" s="54"/>
      <c r="H79" s="55"/>
    </row>
    <row r="80" spans="1:9" ht="15" x14ac:dyDescent="0.25">
      <c r="A80" s="39"/>
      <c r="B80" s="67" t="s">
        <v>2654</v>
      </c>
      <c r="C80" s="62"/>
      <c r="D80" s="54"/>
      <c r="E80" s="54"/>
      <c r="F80" s="54"/>
      <c r="G80" s="54"/>
      <c r="H80" s="55"/>
      <c r="I80" s="39"/>
    </row>
    <row r="81" spans="1:8" ht="14.25" x14ac:dyDescent="0.2">
      <c r="A81" s="57"/>
      <c r="B81" s="67"/>
      <c r="C81" s="54"/>
      <c r="D81" s="54"/>
      <c r="E81" s="54"/>
      <c r="F81" s="54"/>
      <c r="G81" s="54"/>
      <c r="H81" s="55"/>
    </row>
    <row r="82" spans="1:8" ht="14.25" x14ac:dyDescent="0.2">
      <c r="A82" s="57"/>
      <c r="B82" s="54"/>
      <c r="C82" s="54"/>
      <c r="D82" s="54"/>
      <c r="E82" s="54"/>
      <c r="F82" s="54"/>
      <c r="G82" s="54"/>
      <c r="H82" s="55"/>
    </row>
    <row r="83" spans="1:8" ht="14.25" x14ac:dyDescent="0.2">
      <c r="A83" s="57"/>
      <c r="B83" s="54" t="s">
        <v>651</v>
      </c>
      <c r="C83" s="54"/>
      <c r="D83" s="54"/>
      <c r="E83" s="54"/>
      <c r="F83" s="54"/>
      <c r="G83" s="54"/>
      <c r="H83" s="55"/>
    </row>
    <row r="84" spans="1:8" ht="14.25" x14ac:dyDescent="0.2">
      <c r="A84" s="57"/>
      <c r="B84" s="54"/>
      <c r="C84" s="54"/>
      <c r="D84" s="54"/>
      <c r="E84" s="54"/>
      <c r="F84" s="54"/>
      <c r="G84" s="54"/>
      <c r="H84" s="55"/>
    </row>
    <row r="85" spans="1:8" ht="14.25" x14ac:dyDescent="0.2">
      <c r="A85" s="57"/>
      <c r="B85" s="54"/>
      <c r="C85" s="54"/>
      <c r="D85" s="54"/>
      <c r="E85" s="54"/>
      <c r="F85" s="54"/>
      <c r="G85" s="54"/>
      <c r="H85" s="55"/>
    </row>
    <row r="86" spans="1:8" ht="14.25" x14ac:dyDescent="0.2">
      <c r="A86" s="57"/>
      <c r="B86" s="54"/>
      <c r="C86" s="54"/>
      <c r="D86" s="54"/>
      <c r="E86" s="54"/>
      <c r="F86" s="54"/>
      <c r="G86" s="54"/>
      <c r="H86" s="55"/>
    </row>
    <row r="87" spans="1:8" ht="14.25" x14ac:dyDescent="0.2">
      <c r="A87" s="57"/>
      <c r="B87" s="54" t="s">
        <v>652</v>
      </c>
      <c r="C87" s="54"/>
      <c r="D87" s="54"/>
      <c r="E87" s="54"/>
      <c r="F87" s="54"/>
      <c r="G87" s="54"/>
      <c r="H87" s="55"/>
    </row>
    <row r="88" spans="1:8" ht="14.25" x14ac:dyDescent="0.2">
      <c r="A88" s="57"/>
      <c r="B88" s="67" t="s">
        <v>1794</v>
      </c>
      <c r="C88" s="54"/>
      <c r="D88" s="54"/>
      <c r="E88" s="54"/>
      <c r="F88" s="54"/>
      <c r="G88" s="54"/>
      <c r="H88" s="55"/>
    </row>
    <row r="89" spans="1:8" ht="14.25" x14ac:dyDescent="0.2">
      <c r="A89" s="57"/>
      <c r="B89" s="54"/>
      <c r="C89" s="54"/>
      <c r="D89" s="54"/>
      <c r="E89" s="54"/>
      <c r="F89" s="54"/>
      <c r="G89" s="54"/>
      <c r="H89" s="55"/>
    </row>
    <row r="90" spans="1:8" ht="14.25" x14ac:dyDescent="0.2">
      <c r="A90" s="57"/>
      <c r="B90" s="54"/>
      <c r="C90" s="54"/>
      <c r="D90" s="54"/>
      <c r="E90" s="54"/>
      <c r="F90" s="54"/>
      <c r="G90" s="54"/>
      <c r="H90" s="55"/>
    </row>
    <row r="91" spans="1:8" ht="14.25" x14ac:dyDescent="0.2">
      <c r="A91" s="57"/>
      <c r="B91" s="54" t="s">
        <v>652</v>
      </c>
      <c r="C91" s="54"/>
      <c r="D91" s="54"/>
      <c r="E91" s="54"/>
      <c r="F91" s="54"/>
      <c r="G91" s="54"/>
      <c r="H91" s="55"/>
    </row>
    <row r="92" spans="1:8" ht="14.25" x14ac:dyDescent="0.2">
      <c r="A92" s="57"/>
      <c r="B92" s="67" t="s">
        <v>1749</v>
      </c>
      <c r="C92" s="54"/>
      <c r="D92" s="54"/>
      <c r="E92" s="54"/>
      <c r="F92" s="54"/>
      <c r="G92" s="54"/>
      <c r="H92" s="55"/>
    </row>
    <row r="93" spans="1:8" ht="14.25" x14ac:dyDescent="0.2">
      <c r="A93" s="57"/>
      <c r="B93" s="54"/>
      <c r="C93" s="54"/>
      <c r="D93" s="54"/>
      <c r="E93" s="54"/>
      <c r="F93" s="54"/>
      <c r="G93" s="54"/>
      <c r="H93" s="55"/>
    </row>
    <row r="94" spans="1:8" ht="14.25" x14ac:dyDescent="0.2">
      <c r="A94" s="57"/>
      <c r="B94" s="54"/>
      <c r="C94" s="54"/>
      <c r="D94" s="54"/>
      <c r="E94" s="54"/>
      <c r="F94" s="54"/>
      <c r="G94" s="54"/>
      <c r="H94" s="55"/>
    </row>
    <row r="95" spans="1:8" ht="14.25" x14ac:dyDescent="0.2">
      <c r="A95" s="57"/>
      <c r="B95" s="54" t="s">
        <v>652</v>
      </c>
      <c r="C95" s="54"/>
      <c r="D95" s="54"/>
      <c r="E95" s="54"/>
      <c r="F95" s="54"/>
      <c r="G95" s="54"/>
      <c r="H95" s="55"/>
    </row>
    <row r="96" spans="1:8" ht="14.25" x14ac:dyDescent="0.2">
      <c r="A96" s="57"/>
      <c r="B96" s="67" t="s">
        <v>2296</v>
      </c>
      <c r="C96" s="54"/>
      <c r="D96" s="54"/>
      <c r="E96" s="54"/>
      <c r="F96" s="54"/>
      <c r="G96" s="54"/>
      <c r="H96" s="55"/>
    </row>
    <row r="97" spans="1:8" ht="14.25" x14ac:dyDescent="0.2">
      <c r="A97" s="57"/>
      <c r="B97" s="54"/>
      <c r="C97" s="54"/>
      <c r="D97" s="54"/>
      <c r="E97" s="54"/>
      <c r="F97" s="57"/>
      <c r="G97" s="57"/>
      <c r="H97" s="58"/>
    </row>
    <row r="98" spans="1:8" x14ac:dyDescent="0.2">
      <c r="A98" s="57"/>
      <c r="B98" s="57"/>
      <c r="C98" s="57"/>
      <c r="D98" s="57"/>
      <c r="E98" s="57"/>
      <c r="F98" s="57"/>
      <c r="G98" s="57"/>
      <c r="H98" s="58"/>
    </row>
    <row r="99" spans="1:8" x14ac:dyDescent="0.2">
      <c r="A99" s="57"/>
      <c r="B99" s="57"/>
      <c r="C99" s="57"/>
      <c r="D99" s="57"/>
      <c r="E99" s="57"/>
      <c r="F99" s="57"/>
      <c r="G99" s="57"/>
      <c r="H99" s="58"/>
    </row>
    <row r="104" spans="1:8" ht="15" x14ac:dyDescent="0.25">
      <c r="A104" s="54"/>
      <c r="B104" s="54"/>
      <c r="C104" s="54"/>
      <c r="D104" s="54"/>
      <c r="E104" s="59" t="s">
        <v>653</v>
      </c>
      <c r="F104" s="54"/>
      <c r="G104" s="54"/>
    </row>
    <row r="105" spans="1:8" ht="15" x14ac:dyDescent="0.25">
      <c r="A105" s="54"/>
      <c r="B105" s="54"/>
      <c r="C105" s="54"/>
      <c r="D105" s="54"/>
      <c r="E105" s="74" t="s">
        <v>2574</v>
      </c>
      <c r="F105" s="54"/>
      <c r="G105" s="54"/>
    </row>
    <row r="106" spans="1:8" ht="15" x14ac:dyDescent="0.25">
      <c r="A106" s="54"/>
      <c r="B106" s="54"/>
      <c r="C106" s="54"/>
      <c r="D106" s="54"/>
      <c r="E106" s="59"/>
      <c r="F106" s="54"/>
      <c r="G106" s="54"/>
    </row>
    <row r="107" spans="1:8" ht="14.25" x14ac:dyDescent="0.2">
      <c r="A107" s="54"/>
      <c r="B107" s="54"/>
      <c r="C107" s="54"/>
      <c r="D107" s="54"/>
      <c r="E107" s="54"/>
      <c r="F107" s="54"/>
      <c r="G107" s="54"/>
    </row>
    <row r="108" spans="1:8" ht="15" x14ac:dyDescent="0.25">
      <c r="A108" s="54"/>
      <c r="B108" s="54"/>
      <c r="C108" s="54"/>
      <c r="D108" s="54"/>
      <c r="E108" s="60" t="s">
        <v>654</v>
      </c>
      <c r="F108" s="54"/>
      <c r="G108" s="54"/>
    </row>
    <row r="109" spans="1:8" ht="14.25" x14ac:dyDescent="0.2">
      <c r="A109" s="54"/>
      <c r="B109" s="54"/>
      <c r="C109" s="54"/>
      <c r="D109" s="54"/>
      <c r="E109" s="54"/>
      <c r="F109" s="54"/>
      <c r="G109" s="54"/>
    </row>
    <row r="110" spans="1:8" ht="14.25" x14ac:dyDescent="0.2">
      <c r="A110" s="54"/>
      <c r="B110" s="54"/>
      <c r="C110" s="54"/>
      <c r="D110" s="54"/>
      <c r="E110" s="54"/>
      <c r="F110" s="54"/>
      <c r="G110" s="54"/>
    </row>
    <row r="111" spans="1:8" ht="14.25" x14ac:dyDescent="0.2">
      <c r="A111" s="54" t="s">
        <v>655</v>
      </c>
      <c r="B111" s="54"/>
      <c r="C111" s="54"/>
      <c r="D111" s="54"/>
      <c r="E111" s="54"/>
      <c r="F111" s="67" t="s">
        <v>1795</v>
      </c>
      <c r="G111" s="54"/>
    </row>
    <row r="112" spans="1:8" ht="14.25" x14ac:dyDescent="0.2">
      <c r="A112" s="54"/>
      <c r="B112" s="54"/>
      <c r="C112" s="54"/>
      <c r="D112" s="54"/>
      <c r="E112" s="54"/>
      <c r="F112" s="54"/>
      <c r="G112" s="54"/>
    </row>
    <row r="113" spans="1:7" ht="14.25" x14ac:dyDescent="0.2">
      <c r="A113" s="54" t="s">
        <v>656</v>
      </c>
      <c r="B113" s="54"/>
      <c r="C113" s="54"/>
      <c r="D113" s="54"/>
      <c r="E113" s="54"/>
      <c r="F113" s="54" t="s">
        <v>227</v>
      </c>
      <c r="G113" s="54"/>
    </row>
    <row r="114" spans="1:7" ht="14.25" x14ac:dyDescent="0.2">
      <c r="A114" s="54"/>
      <c r="B114" s="54"/>
      <c r="C114" s="54"/>
      <c r="D114" s="54"/>
      <c r="E114" s="54"/>
      <c r="F114" s="54"/>
      <c r="G114" s="54"/>
    </row>
    <row r="115" spans="1:7" ht="14.25" x14ac:dyDescent="0.2">
      <c r="A115" s="54" t="s">
        <v>657</v>
      </c>
      <c r="B115" s="54"/>
      <c r="C115" s="54"/>
      <c r="D115" s="54"/>
      <c r="E115" s="54"/>
      <c r="F115" s="67" t="s">
        <v>1661</v>
      </c>
      <c r="G115" s="54"/>
    </row>
    <row r="116" spans="1:7" ht="14.25" x14ac:dyDescent="0.2">
      <c r="A116" s="54"/>
      <c r="B116" s="54"/>
      <c r="C116" s="54"/>
      <c r="D116" s="54"/>
      <c r="E116" s="54"/>
      <c r="F116" s="54"/>
      <c r="G116" s="54"/>
    </row>
    <row r="117" spans="1:7" ht="14.25" x14ac:dyDescent="0.2">
      <c r="A117" s="54" t="s">
        <v>658</v>
      </c>
      <c r="B117" s="54"/>
      <c r="C117" s="54"/>
      <c r="D117" s="54"/>
      <c r="E117" s="54"/>
      <c r="F117" s="67" t="s">
        <v>105</v>
      </c>
      <c r="G117" s="54"/>
    </row>
    <row r="118" spans="1:7" ht="14.25" x14ac:dyDescent="0.2">
      <c r="A118" s="54"/>
      <c r="B118" s="54"/>
      <c r="C118" s="54"/>
      <c r="D118" s="54"/>
      <c r="E118" s="54"/>
      <c r="F118" s="54"/>
      <c r="G118" s="54"/>
    </row>
    <row r="119" spans="1:7" ht="14.25" x14ac:dyDescent="0.2">
      <c r="A119" s="54" t="s">
        <v>659</v>
      </c>
      <c r="B119" s="54"/>
      <c r="C119" s="54"/>
      <c r="D119" s="54"/>
      <c r="E119" s="54"/>
      <c r="F119" s="67" t="s">
        <v>1662</v>
      </c>
      <c r="G119" s="54"/>
    </row>
    <row r="120" spans="1:7" ht="14.25" x14ac:dyDescent="0.2">
      <c r="A120" s="54"/>
      <c r="B120" s="54"/>
      <c r="C120" s="54"/>
      <c r="D120" s="54"/>
      <c r="E120" s="54"/>
      <c r="F120" s="54"/>
      <c r="G120" s="54"/>
    </row>
    <row r="121" spans="1:7" ht="14.25" x14ac:dyDescent="0.2">
      <c r="A121" s="54" t="s">
        <v>660</v>
      </c>
      <c r="B121" s="54"/>
      <c r="C121" s="54"/>
      <c r="D121" s="54"/>
      <c r="E121" s="54"/>
      <c r="F121" s="67" t="s">
        <v>2297</v>
      </c>
      <c r="G121" s="54"/>
    </row>
    <row r="122" spans="1:7" ht="14.25" x14ac:dyDescent="0.2">
      <c r="A122" s="54"/>
      <c r="B122" s="54"/>
      <c r="C122" s="54"/>
      <c r="D122" s="54"/>
      <c r="E122" s="54"/>
      <c r="F122" s="54"/>
      <c r="G122" s="54"/>
    </row>
    <row r="123" spans="1:7" ht="14.25" x14ac:dyDescent="0.2">
      <c r="A123" s="54" t="s">
        <v>661</v>
      </c>
      <c r="B123" s="54"/>
      <c r="C123" s="54"/>
      <c r="D123" s="54"/>
      <c r="E123" s="54"/>
      <c r="F123" s="67" t="s">
        <v>1663</v>
      </c>
      <c r="G123" s="54"/>
    </row>
    <row r="124" spans="1:7" ht="14.25" x14ac:dyDescent="0.2">
      <c r="A124" s="54"/>
      <c r="B124" s="54"/>
      <c r="C124" s="54"/>
      <c r="D124" s="54"/>
      <c r="E124" s="54"/>
      <c r="F124" s="54"/>
      <c r="G124" s="54"/>
    </row>
    <row r="125" spans="1:7" ht="14.25" x14ac:dyDescent="0.2">
      <c r="A125" s="54" t="s">
        <v>662</v>
      </c>
      <c r="B125" s="54"/>
      <c r="C125" s="54"/>
      <c r="D125" s="54"/>
      <c r="E125" s="54"/>
      <c r="F125" s="54" t="s">
        <v>228</v>
      </c>
      <c r="G125" s="54"/>
    </row>
    <row r="126" spans="1:7" ht="14.25" x14ac:dyDescent="0.2">
      <c r="A126" s="54"/>
      <c r="B126" s="54"/>
      <c r="C126" s="54"/>
      <c r="D126" s="54"/>
      <c r="E126" s="54"/>
      <c r="F126" s="54"/>
      <c r="G126" s="54"/>
    </row>
    <row r="127" spans="1:7" ht="14.25" x14ac:dyDescent="0.2">
      <c r="A127" s="54" t="s">
        <v>663</v>
      </c>
      <c r="B127" s="54"/>
      <c r="C127" s="54"/>
      <c r="D127" s="54"/>
      <c r="E127" s="54"/>
      <c r="F127" s="67" t="s">
        <v>1664</v>
      </c>
      <c r="G127" s="54"/>
    </row>
    <row r="128" spans="1:7" ht="14.25" x14ac:dyDescent="0.2">
      <c r="A128" s="54"/>
      <c r="B128" s="54"/>
      <c r="C128" s="54"/>
      <c r="D128" s="54"/>
      <c r="E128" s="54"/>
      <c r="F128" s="54"/>
      <c r="G128" s="54"/>
    </row>
    <row r="129" spans="1:7" ht="14.25" x14ac:dyDescent="0.2">
      <c r="A129" s="54" t="s">
        <v>664</v>
      </c>
      <c r="B129" s="54"/>
      <c r="C129" s="54"/>
      <c r="D129" s="54"/>
      <c r="E129" s="54"/>
      <c r="F129" s="67" t="s">
        <v>1796</v>
      </c>
      <c r="G129" s="54"/>
    </row>
    <row r="130" spans="1:7" ht="14.25" x14ac:dyDescent="0.2">
      <c r="A130" s="54"/>
      <c r="B130" s="54"/>
      <c r="C130" s="54"/>
      <c r="D130" s="54"/>
      <c r="E130" s="54"/>
      <c r="F130" s="54"/>
      <c r="G130" s="54"/>
    </row>
    <row r="131" spans="1:7" ht="14.25" x14ac:dyDescent="0.2">
      <c r="A131" s="54" t="s">
        <v>665</v>
      </c>
      <c r="B131" s="54"/>
      <c r="C131" s="54"/>
      <c r="D131" s="54"/>
      <c r="E131" s="54"/>
      <c r="F131" s="67" t="s">
        <v>1823</v>
      </c>
      <c r="G131" s="54"/>
    </row>
    <row r="132" spans="1:7" ht="14.25" x14ac:dyDescent="0.2">
      <c r="A132" s="54"/>
      <c r="B132" s="54"/>
      <c r="C132" s="54"/>
      <c r="D132" s="54"/>
      <c r="E132" s="54"/>
      <c r="F132" s="54"/>
      <c r="G132" s="54"/>
    </row>
    <row r="133" spans="1:7" ht="14.25" x14ac:dyDescent="0.2">
      <c r="A133" s="54" t="s">
        <v>666</v>
      </c>
      <c r="B133" s="54"/>
      <c r="C133" s="54"/>
      <c r="D133" s="54"/>
      <c r="E133" s="54"/>
      <c r="F133" s="67" t="s">
        <v>2575</v>
      </c>
      <c r="G133" s="54"/>
    </row>
    <row r="134" spans="1:7" ht="14.25" x14ac:dyDescent="0.2">
      <c r="A134" s="54"/>
      <c r="B134" s="54"/>
      <c r="C134" s="54"/>
      <c r="D134" s="54"/>
      <c r="E134" s="54"/>
      <c r="F134" s="54"/>
      <c r="G134" s="54"/>
    </row>
    <row r="135" spans="1:7" ht="14.25" x14ac:dyDescent="0.2">
      <c r="A135" s="54" t="s">
        <v>667</v>
      </c>
      <c r="B135" s="54"/>
      <c r="C135" s="54"/>
      <c r="D135" s="54"/>
      <c r="E135" s="54"/>
      <c r="F135" s="67" t="s">
        <v>2576</v>
      </c>
      <c r="G135" s="54"/>
    </row>
    <row r="136" spans="1:7" ht="14.25" x14ac:dyDescent="0.2">
      <c r="A136" s="54"/>
      <c r="B136" s="54"/>
      <c r="C136" s="54"/>
      <c r="D136" s="54"/>
      <c r="E136" s="54"/>
      <c r="F136" s="54"/>
      <c r="G136" s="54"/>
    </row>
    <row r="137" spans="1:7" ht="14.25" x14ac:dyDescent="0.2">
      <c r="A137" s="54" t="s">
        <v>97</v>
      </c>
      <c r="B137" s="54"/>
      <c r="C137" s="54"/>
      <c r="D137" s="54"/>
      <c r="E137" s="54"/>
      <c r="F137" s="54" t="s">
        <v>98</v>
      </c>
      <c r="G137" s="54"/>
    </row>
    <row r="138" spans="1:7" ht="14.25" x14ac:dyDescent="0.2">
      <c r="A138" s="54"/>
      <c r="B138" s="54"/>
      <c r="C138" s="54"/>
      <c r="D138" s="54"/>
      <c r="E138" s="54"/>
      <c r="F138" s="54"/>
      <c r="G138" s="54"/>
    </row>
    <row r="139" spans="1:7" ht="14.25" x14ac:dyDescent="0.2">
      <c r="A139" s="54" t="s">
        <v>99</v>
      </c>
      <c r="B139" s="54"/>
      <c r="C139" s="54"/>
      <c r="D139" s="54"/>
      <c r="E139" s="54"/>
      <c r="F139" s="67" t="s">
        <v>1797</v>
      </c>
      <c r="G139" s="54"/>
    </row>
    <row r="140" spans="1:7" ht="14.25" x14ac:dyDescent="0.2">
      <c r="A140" s="54"/>
      <c r="B140" s="54"/>
      <c r="C140" s="54"/>
      <c r="D140" s="54"/>
      <c r="E140" s="54"/>
      <c r="F140" s="54"/>
      <c r="G140" s="54"/>
    </row>
    <row r="141" spans="1:7" ht="14.25" x14ac:dyDescent="0.2">
      <c r="A141" s="54" t="s">
        <v>100</v>
      </c>
      <c r="B141" s="54"/>
      <c r="C141" s="54"/>
      <c r="D141" s="54"/>
      <c r="E141" s="54"/>
      <c r="F141" s="67" t="s">
        <v>1665</v>
      </c>
      <c r="G141" s="54"/>
    </row>
    <row r="142" spans="1:7" ht="14.25" x14ac:dyDescent="0.2">
      <c r="A142" s="54"/>
      <c r="B142" s="54"/>
      <c r="C142" s="54"/>
      <c r="D142" s="54"/>
      <c r="E142" s="54"/>
      <c r="F142" s="54"/>
      <c r="G142" s="54"/>
    </row>
    <row r="143" spans="1:7" ht="14.25" x14ac:dyDescent="0.2">
      <c r="A143" s="54" t="s">
        <v>101</v>
      </c>
      <c r="B143" s="54"/>
      <c r="C143" s="54"/>
      <c r="D143" s="54"/>
      <c r="E143" s="54"/>
      <c r="F143" s="67" t="s">
        <v>1742</v>
      </c>
      <c r="G143" s="54"/>
    </row>
    <row r="144" spans="1:7" ht="14.25" x14ac:dyDescent="0.2">
      <c r="A144" s="54"/>
      <c r="B144" s="54"/>
      <c r="C144" s="54"/>
      <c r="D144" s="54"/>
      <c r="E144" s="54"/>
      <c r="F144" s="54"/>
      <c r="G144" s="54"/>
    </row>
    <row r="145" spans="1:8" ht="14.25" x14ac:dyDescent="0.2">
      <c r="A145" s="54" t="s">
        <v>102</v>
      </c>
      <c r="B145" s="54"/>
      <c r="C145" s="54"/>
      <c r="D145" s="54"/>
      <c r="E145" s="54"/>
      <c r="F145" s="54" t="s">
        <v>103</v>
      </c>
      <c r="G145" s="54"/>
    </row>
    <row r="146" spans="1:8" ht="14.25" x14ac:dyDescent="0.2">
      <c r="A146" s="54"/>
      <c r="B146" s="54"/>
      <c r="C146" s="54"/>
      <c r="D146" s="54"/>
      <c r="E146" s="54"/>
      <c r="F146" s="54"/>
      <c r="G146" s="54"/>
    </row>
    <row r="147" spans="1:8" ht="14.25" x14ac:dyDescent="0.2">
      <c r="A147" s="54" t="s">
        <v>104</v>
      </c>
      <c r="B147" s="54"/>
      <c r="C147" s="54"/>
      <c r="D147" s="54"/>
      <c r="E147" s="54"/>
      <c r="F147" s="67" t="s">
        <v>1743</v>
      </c>
      <c r="G147" s="54"/>
    </row>
    <row r="148" spans="1:8" ht="14.25" x14ac:dyDescent="0.2">
      <c r="A148" s="54"/>
      <c r="B148" s="54"/>
      <c r="C148" s="54"/>
      <c r="D148" s="54"/>
      <c r="E148" s="54"/>
      <c r="F148" s="54"/>
      <c r="G148" s="54"/>
    </row>
    <row r="149" spans="1:8" ht="14.25" x14ac:dyDescent="0.2">
      <c r="A149" s="54" t="s">
        <v>106</v>
      </c>
      <c r="B149" s="54"/>
      <c r="C149" s="54"/>
      <c r="D149" s="54"/>
      <c r="E149" s="54"/>
      <c r="F149" s="67" t="s">
        <v>1744</v>
      </c>
      <c r="G149" s="54"/>
    </row>
    <row r="150" spans="1:8" ht="14.25" x14ac:dyDescent="0.2">
      <c r="A150" s="54"/>
      <c r="B150" s="54"/>
      <c r="C150" s="54"/>
      <c r="D150" s="54"/>
      <c r="E150" s="54"/>
      <c r="F150" s="54"/>
      <c r="G150" s="54"/>
    </row>
    <row r="151" spans="1:8" ht="14.25" x14ac:dyDescent="0.2">
      <c r="A151" s="54" t="s">
        <v>107</v>
      </c>
      <c r="B151" s="54"/>
      <c r="C151" s="54"/>
      <c r="D151" s="54"/>
      <c r="E151" s="54"/>
      <c r="F151" s="67" t="s">
        <v>2320</v>
      </c>
      <c r="G151" s="54"/>
    </row>
    <row r="152" spans="1:8" ht="14.25" x14ac:dyDescent="0.2">
      <c r="A152" s="54"/>
      <c r="B152" s="54"/>
      <c r="C152" s="54"/>
      <c r="D152" s="54"/>
      <c r="E152" s="54"/>
      <c r="F152" s="54"/>
      <c r="G152" s="54"/>
    </row>
    <row r="156" spans="1:8" ht="15" x14ac:dyDescent="0.25">
      <c r="A156" s="54"/>
      <c r="B156" s="54"/>
      <c r="C156" s="54"/>
      <c r="D156" s="54"/>
      <c r="E156" s="59" t="s">
        <v>653</v>
      </c>
      <c r="F156" s="54"/>
      <c r="G156" s="54"/>
      <c r="H156" s="55"/>
    </row>
    <row r="157" spans="1:8" ht="15" x14ac:dyDescent="0.25">
      <c r="A157" s="54"/>
      <c r="B157" s="54"/>
      <c r="C157" s="54"/>
      <c r="D157" s="54"/>
      <c r="E157" s="74" t="str">
        <f>+E105</f>
        <v>2023 - 2024 BUDGET</v>
      </c>
      <c r="F157" s="54"/>
      <c r="G157" s="54"/>
      <c r="H157" s="55"/>
    </row>
    <row r="158" spans="1:8" ht="15" x14ac:dyDescent="0.25">
      <c r="A158" s="54"/>
      <c r="B158" s="54"/>
      <c r="C158" s="54"/>
      <c r="D158" s="54"/>
      <c r="E158" s="59" t="s">
        <v>108</v>
      </c>
      <c r="F158" s="54"/>
      <c r="G158" s="54"/>
      <c r="H158" s="55"/>
    </row>
    <row r="159" spans="1:8" ht="14.25" x14ac:dyDescent="0.2">
      <c r="A159" s="54"/>
      <c r="B159" s="54"/>
      <c r="C159" s="54"/>
      <c r="D159" s="54"/>
      <c r="E159" s="54"/>
      <c r="F159" s="54"/>
      <c r="G159" s="54"/>
      <c r="H159" s="55"/>
    </row>
    <row r="160" spans="1:8" ht="14.25" x14ac:dyDescent="0.2">
      <c r="A160" s="54"/>
      <c r="B160" s="54"/>
      <c r="C160" s="54"/>
      <c r="D160" s="54"/>
      <c r="E160" s="54"/>
      <c r="F160" s="54"/>
      <c r="G160" s="54"/>
      <c r="H160" s="55"/>
    </row>
    <row r="161" spans="1:8" ht="14.25" x14ac:dyDescent="0.2">
      <c r="A161" s="67" t="s">
        <v>2577</v>
      </c>
      <c r="B161" s="54"/>
      <c r="C161" s="54"/>
      <c r="D161" s="54"/>
      <c r="E161" s="54"/>
      <c r="F161" s="54"/>
      <c r="G161" s="54"/>
      <c r="H161" s="61" t="s">
        <v>612</v>
      </c>
    </row>
    <row r="162" spans="1:8" ht="14.25" x14ac:dyDescent="0.2">
      <c r="A162" s="54"/>
      <c r="B162" s="54"/>
      <c r="C162" s="54"/>
      <c r="D162" s="54"/>
      <c r="E162" s="54"/>
      <c r="F162" s="54"/>
      <c r="G162" s="54"/>
      <c r="H162" s="61"/>
    </row>
    <row r="163" spans="1:8" ht="14.25" x14ac:dyDescent="0.2">
      <c r="A163" s="67" t="s">
        <v>2585</v>
      </c>
      <c r="B163" s="54"/>
      <c r="C163" s="54"/>
      <c r="D163" s="54"/>
      <c r="E163" s="54"/>
      <c r="F163" s="54"/>
      <c r="G163" s="54"/>
      <c r="H163" s="61" t="s">
        <v>109</v>
      </c>
    </row>
    <row r="164" spans="1:8" ht="14.25" x14ac:dyDescent="0.2">
      <c r="A164" s="54"/>
      <c r="B164" s="54"/>
      <c r="C164" s="54"/>
      <c r="D164" s="54"/>
      <c r="E164" s="54"/>
      <c r="F164" s="54"/>
      <c r="G164" s="54"/>
      <c r="H164" s="61"/>
    </row>
    <row r="165" spans="1:8" ht="14.25" x14ac:dyDescent="0.2">
      <c r="A165" s="54" t="s">
        <v>111</v>
      </c>
      <c r="B165" s="54"/>
      <c r="C165" s="54"/>
      <c r="D165" s="54"/>
      <c r="E165" s="54"/>
      <c r="F165" s="54"/>
      <c r="G165" s="54"/>
      <c r="H165" s="61" t="s">
        <v>110</v>
      </c>
    </row>
    <row r="166" spans="1:8" ht="14.25" x14ac:dyDescent="0.2">
      <c r="A166" s="54"/>
      <c r="B166" s="54"/>
      <c r="C166" s="54"/>
      <c r="D166" s="54"/>
      <c r="E166" s="54"/>
      <c r="F166" s="54"/>
      <c r="G166" s="54"/>
      <c r="H166" s="61"/>
    </row>
    <row r="167" spans="1:8" ht="14.25" x14ac:dyDescent="0.2">
      <c r="A167" s="67" t="s">
        <v>2578</v>
      </c>
      <c r="B167" s="54"/>
      <c r="C167" s="54"/>
      <c r="D167" s="54"/>
      <c r="E167" s="54"/>
      <c r="F167" s="54"/>
      <c r="G167" s="54"/>
      <c r="H167" s="61" t="s">
        <v>110</v>
      </c>
    </row>
    <row r="168" spans="1:8" ht="14.25" x14ac:dyDescent="0.2">
      <c r="A168" s="54"/>
      <c r="B168" s="54"/>
      <c r="C168" s="54"/>
      <c r="D168" s="54"/>
      <c r="E168" s="54"/>
      <c r="F168" s="54"/>
      <c r="G168" s="54"/>
      <c r="H168" s="61"/>
    </row>
    <row r="169" spans="1:8" ht="14.25" x14ac:dyDescent="0.2">
      <c r="A169" s="67" t="s">
        <v>2579</v>
      </c>
      <c r="B169" s="54"/>
      <c r="C169" s="54"/>
      <c r="D169" s="54"/>
      <c r="E169" s="54"/>
      <c r="F169" s="54"/>
      <c r="G169" s="54"/>
      <c r="H169" s="99" t="s">
        <v>1756</v>
      </c>
    </row>
    <row r="170" spans="1:8" ht="14.25" x14ac:dyDescent="0.2">
      <c r="A170" s="54"/>
      <c r="B170" s="54"/>
      <c r="C170" s="54"/>
      <c r="D170" s="54"/>
      <c r="E170" s="54"/>
      <c r="F170" s="54"/>
      <c r="G170" s="54"/>
      <c r="H170" s="61"/>
    </row>
    <row r="171" spans="1:8" ht="15" x14ac:dyDescent="0.25">
      <c r="A171" s="62" t="s">
        <v>112</v>
      </c>
      <c r="B171" s="54"/>
      <c r="C171" s="54"/>
      <c r="D171" s="54"/>
      <c r="E171" s="54"/>
      <c r="F171" s="54"/>
      <c r="G171" s="54"/>
      <c r="H171" s="61"/>
    </row>
    <row r="172" spans="1:8" ht="14.25" x14ac:dyDescent="0.2">
      <c r="A172" s="54"/>
      <c r="B172" s="54"/>
      <c r="C172" s="54"/>
      <c r="D172" s="54"/>
      <c r="E172" s="54"/>
      <c r="F172" s="54"/>
      <c r="G172" s="54"/>
      <c r="H172" s="61"/>
    </row>
    <row r="173" spans="1:8" ht="14.25" x14ac:dyDescent="0.2">
      <c r="A173" s="54"/>
      <c r="B173" s="54" t="s">
        <v>113</v>
      </c>
      <c r="C173" s="54"/>
      <c r="D173" s="54"/>
      <c r="E173" s="54"/>
      <c r="F173" s="54"/>
      <c r="G173" s="54"/>
      <c r="H173" s="61" t="s">
        <v>1245</v>
      </c>
    </row>
    <row r="174" spans="1:8" ht="14.25" x14ac:dyDescent="0.2">
      <c r="A174" s="54"/>
      <c r="B174" s="54"/>
      <c r="C174" s="54"/>
      <c r="D174" s="54"/>
      <c r="E174" s="54"/>
      <c r="F174" s="54"/>
      <c r="G174" s="54"/>
      <c r="H174" s="61"/>
    </row>
    <row r="175" spans="1:8" ht="14.25" x14ac:dyDescent="0.2">
      <c r="A175" s="54"/>
      <c r="B175" s="54" t="s">
        <v>114</v>
      </c>
      <c r="C175" s="54"/>
      <c r="D175" s="54"/>
      <c r="E175" s="54"/>
      <c r="F175" s="54"/>
      <c r="G175" s="54"/>
      <c r="H175" s="61">
        <v>3</v>
      </c>
    </row>
    <row r="176" spans="1:8" ht="14.25" x14ac:dyDescent="0.2">
      <c r="A176" s="54"/>
      <c r="B176" s="54"/>
      <c r="C176" s="54"/>
      <c r="D176" s="54"/>
      <c r="E176" s="54"/>
      <c r="F176" s="54"/>
      <c r="G176" s="54"/>
      <c r="H176" s="61"/>
    </row>
    <row r="177" spans="1:8" ht="14.25" x14ac:dyDescent="0.2">
      <c r="A177" s="54"/>
      <c r="B177" s="54" t="s">
        <v>655</v>
      </c>
      <c r="C177" s="54"/>
      <c r="D177" s="54"/>
      <c r="E177" s="54"/>
      <c r="F177" s="54"/>
      <c r="G177" s="54"/>
      <c r="H177" s="61">
        <v>3</v>
      </c>
    </row>
    <row r="178" spans="1:8" ht="14.25" x14ac:dyDescent="0.2">
      <c r="A178" s="54"/>
      <c r="B178" s="54"/>
      <c r="C178" s="54"/>
      <c r="D178" s="54"/>
      <c r="E178" s="54"/>
      <c r="F178" s="54"/>
      <c r="G178" s="54"/>
      <c r="H178" s="61"/>
    </row>
    <row r="179" spans="1:8" ht="14.25" x14ac:dyDescent="0.2">
      <c r="A179" s="54"/>
      <c r="B179" s="54" t="s">
        <v>115</v>
      </c>
      <c r="C179" s="54"/>
      <c r="D179" s="54"/>
      <c r="E179" s="54"/>
      <c r="F179" s="54"/>
      <c r="G179" s="54"/>
      <c r="H179" s="61">
        <v>3</v>
      </c>
    </row>
    <row r="180" spans="1:8" ht="14.25" x14ac:dyDescent="0.2">
      <c r="A180" s="54"/>
      <c r="B180" s="54"/>
      <c r="C180" s="54"/>
      <c r="D180" s="54"/>
      <c r="E180" s="54"/>
      <c r="F180" s="54"/>
      <c r="G180" s="54"/>
      <c r="H180" s="61"/>
    </row>
    <row r="181" spans="1:8" ht="14.25" x14ac:dyDescent="0.2">
      <c r="A181" s="54"/>
      <c r="B181" s="54" t="s">
        <v>660</v>
      </c>
      <c r="C181" s="54"/>
      <c r="D181" s="54"/>
      <c r="E181" s="54"/>
      <c r="F181" s="54"/>
      <c r="G181" s="54"/>
      <c r="H181" s="61">
        <v>3</v>
      </c>
    </row>
    <row r="182" spans="1:8" ht="14.25" x14ac:dyDescent="0.2">
      <c r="A182" s="54"/>
      <c r="B182" s="54"/>
      <c r="C182" s="54"/>
      <c r="D182" s="54"/>
      <c r="E182" s="54"/>
      <c r="F182" s="54"/>
      <c r="G182" s="54"/>
      <c r="H182" s="61"/>
    </row>
    <row r="183" spans="1:8" ht="14.25" x14ac:dyDescent="0.2">
      <c r="A183" s="54"/>
      <c r="B183" s="54" t="s">
        <v>116</v>
      </c>
      <c r="C183" s="54"/>
      <c r="D183" s="54"/>
      <c r="E183" s="54"/>
      <c r="F183" s="54"/>
      <c r="G183" s="54"/>
      <c r="H183" s="61">
        <v>4</v>
      </c>
    </row>
    <row r="184" spans="1:8" ht="14.25" x14ac:dyDescent="0.2">
      <c r="A184" s="54"/>
      <c r="B184" s="54"/>
      <c r="C184" s="54"/>
      <c r="D184" s="54"/>
      <c r="E184" s="54"/>
      <c r="F184" s="54"/>
      <c r="G184" s="54"/>
      <c r="H184" s="61"/>
    </row>
    <row r="185" spans="1:8" ht="14.25" x14ac:dyDescent="0.2">
      <c r="A185" s="54"/>
      <c r="B185" s="54" t="s">
        <v>117</v>
      </c>
      <c r="C185" s="54"/>
      <c r="D185" s="54"/>
      <c r="E185" s="54"/>
      <c r="F185" s="54"/>
      <c r="G185" s="54"/>
      <c r="H185" s="61">
        <v>4</v>
      </c>
    </row>
    <row r="186" spans="1:8" ht="14.25" x14ac:dyDescent="0.2">
      <c r="A186" s="54"/>
      <c r="B186" s="54"/>
      <c r="C186" s="54"/>
      <c r="D186" s="54"/>
      <c r="E186" s="54"/>
      <c r="F186" s="54"/>
      <c r="G186" s="54"/>
      <c r="H186" s="61"/>
    </row>
    <row r="187" spans="1:8" ht="14.25" x14ac:dyDescent="0.2">
      <c r="A187" s="54"/>
      <c r="B187" s="54" t="s">
        <v>118</v>
      </c>
      <c r="C187" s="54"/>
      <c r="D187" s="54"/>
      <c r="E187" s="54"/>
      <c r="F187" s="54"/>
      <c r="G187" s="54"/>
      <c r="H187" s="61">
        <v>5</v>
      </c>
    </row>
    <row r="188" spans="1:8" ht="14.25" x14ac:dyDescent="0.2">
      <c r="A188" s="54"/>
      <c r="B188" s="54"/>
      <c r="C188" s="54"/>
      <c r="D188" s="54"/>
      <c r="E188" s="54"/>
      <c r="F188" s="54"/>
      <c r="G188" s="54"/>
      <c r="H188" s="61"/>
    </row>
    <row r="189" spans="1:8" ht="14.25" x14ac:dyDescent="0.2">
      <c r="A189" s="54"/>
      <c r="B189" s="54" t="s">
        <v>661</v>
      </c>
      <c r="C189" s="54"/>
      <c r="D189" s="54"/>
      <c r="E189" s="54"/>
      <c r="F189" s="54"/>
      <c r="G189" s="54"/>
      <c r="H189" s="61">
        <v>5</v>
      </c>
    </row>
    <row r="190" spans="1:8" ht="14.25" x14ac:dyDescent="0.2">
      <c r="A190" s="54"/>
      <c r="B190" s="54"/>
      <c r="C190" s="54"/>
      <c r="D190" s="54"/>
      <c r="E190" s="54"/>
      <c r="F190" s="54"/>
      <c r="G190" s="54"/>
      <c r="H190" s="61"/>
    </row>
    <row r="191" spans="1:8" ht="14.25" x14ac:dyDescent="0.2">
      <c r="A191" s="54"/>
      <c r="B191" s="54" t="s">
        <v>662</v>
      </c>
      <c r="C191" s="54"/>
      <c r="D191" s="54"/>
      <c r="E191" s="54"/>
      <c r="F191" s="54"/>
      <c r="G191" s="54"/>
      <c r="H191" s="61">
        <v>6</v>
      </c>
    </row>
    <row r="192" spans="1:8" ht="14.25" x14ac:dyDescent="0.2">
      <c r="A192" s="54"/>
      <c r="B192" s="54"/>
      <c r="C192" s="54"/>
      <c r="D192" s="54"/>
      <c r="E192" s="54"/>
      <c r="F192" s="54"/>
      <c r="G192" s="54"/>
      <c r="H192" s="61"/>
    </row>
    <row r="193" spans="1:8" ht="14.25" x14ac:dyDescent="0.2">
      <c r="A193" s="54"/>
      <c r="B193" s="54" t="s">
        <v>119</v>
      </c>
      <c r="C193" s="54"/>
      <c r="D193" s="54"/>
      <c r="E193" s="54"/>
      <c r="F193" s="54"/>
      <c r="G193" s="54"/>
      <c r="H193" s="61">
        <v>6</v>
      </c>
    </row>
    <row r="194" spans="1:8" ht="14.25" x14ac:dyDescent="0.2">
      <c r="A194" s="54"/>
      <c r="B194" s="54"/>
      <c r="C194" s="54"/>
      <c r="D194" s="54"/>
      <c r="E194" s="54"/>
      <c r="F194" s="54"/>
      <c r="G194" s="54"/>
      <c r="H194" s="61"/>
    </row>
    <row r="195" spans="1:8" ht="14.25" x14ac:dyDescent="0.2">
      <c r="A195" s="54"/>
      <c r="B195" s="54" t="s">
        <v>663</v>
      </c>
      <c r="C195" s="54"/>
      <c r="D195" s="54"/>
      <c r="E195" s="54"/>
      <c r="F195" s="54"/>
      <c r="G195" s="54"/>
      <c r="H195" s="61">
        <v>6</v>
      </c>
    </row>
    <row r="196" spans="1:8" ht="14.25" x14ac:dyDescent="0.2">
      <c r="A196" s="54"/>
      <c r="B196" s="54"/>
      <c r="C196" s="54"/>
      <c r="D196" s="54"/>
      <c r="E196" s="54"/>
      <c r="F196" s="54"/>
      <c r="G196" s="54"/>
      <c r="H196" s="61"/>
    </row>
    <row r="197" spans="1:8" ht="14.25" x14ac:dyDescent="0.2">
      <c r="A197" s="54"/>
      <c r="B197" s="54" t="s">
        <v>664</v>
      </c>
      <c r="C197" s="54"/>
      <c r="D197" s="54"/>
      <c r="E197" s="54"/>
      <c r="F197" s="54"/>
      <c r="G197" s="54"/>
      <c r="H197" s="61">
        <v>7</v>
      </c>
    </row>
    <row r="198" spans="1:8" ht="14.25" x14ac:dyDescent="0.2">
      <c r="A198" s="54"/>
      <c r="B198" s="54"/>
      <c r="C198" s="54"/>
      <c r="D198" s="54"/>
      <c r="E198" s="54"/>
      <c r="F198" s="54"/>
      <c r="G198" s="54"/>
      <c r="H198" s="61"/>
    </row>
    <row r="199" spans="1:8" ht="14.25" x14ac:dyDescent="0.2">
      <c r="A199" s="54"/>
      <c r="B199" s="54" t="s">
        <v>120</v>
      </c>
      <c r="C199" s="54"/>
      <c r="D199" s="54"/>
      <c r="E199" s="54"/>
      <c r="F199" s="54"/>
      <c r="G199" s="54"/>
      <c r="H199" s="61">
        <v>7</v>
      </c>
    </row>
    <row r="200" spans="1:8" ht="14.25" x14ac:dyDescent="0.2">
      <c r="A200" s="54"/>
      <c r="B200" s="54"/>
      <c r="C200" s="54"/>
      <c r="D200" s="54"/>
      <c r="E200" s="54"/>
      <c r="F200" s="54"/>
      <c r="G200" s="54"/>
      <c r="H200" s="61"/>
    </row>
    <row r="201" spans="1:8" ht="14.25" x14ac:dyDescent="0.2">
      <c r="A201" s="54"/>
      <c r="B201" s="54" t="s">
        <v>121</v>
      </c>
      <c r="C201" s="54"/>
      <c r="D201" s="54"/>
      <c r="E201" s="54"/>
      <c r="F201" s="54"/>
      <c r="G201" s="54"/>
      <c r="H201" s="61">
        <v>8</v>
      </c>
    </row>
    <row r="202" spans="1:8" ht="14.25" x14ac:dyDescent="0.2">
      <c r="A202" s="54"/>
      <c r="B202" s="54"/>
      <c r="C202" s="54"/>
      <c r="D202" s="54"/>
      <c r="E202" s="54"/>
      <c r="F202" s="54"/>
      <c r="G202" s="54"/>
      <c r="H202" s="61"/>
    </row>
    <row r="203" spans="1:8" ht="14.25" x14ac:dyDescent="0.2">
      <c r="A203" s="54"/>
      <c r="B203" s="54" t="s">
        <v>122</v>
      </c>
      <c r="C203" s="54"/>
      <c r="D203" s="54"/>
      <c r="E203" s="54"/>
      <c r="F203" s="54"/>
      <c r="G203" s="54"/>
      <c r="H203" s="61">
        <v>8</v>
      </c>
    </row>
    <row r="204" spans="1:8" ht="14.25" x14ac:dyDescent="0.2">
      <c r="A204" s="54"/>
      <c r="B204" s="54"/>
      <c r="C204" s="54"/>
      <c r="D204" s="54"/>
      <c r="E204" s="54"/>
      <c r="F204" s="54"/>
      <c r="G204" s="54"/>
      <c r="H204" s="61"/>
    </row>
    <row r="205" spans="1:8" ht="14.25" x14ac:dyDescent="0.2">
      <c r="A205" s="54"/>
      <c r="B205" s="54" t="s">
        <v>497</v>
      </c>
      <c r="C205" s="54"/>
      <c r="D205" s="54"/>
      <c r="E205" s="54"/>
      <c r="F205" s="54"/>
      <c r="G205" s="54"/>
      <c r="H205" s="61">
        <v>8</v>
      </c>
    </row>
    <row r="206" spans="1:8" ht="14.25" x14ac:dyDescent="0.2">
      <c r="A206" s="54"/>
      <c r="B206" s="54"/>
      <c r="C206" s="54"/>
      <c r="D206" s="54"/>
      <c r="E206" s="54"/>
      <c r="F206" s="54"/>
      <c r="G206" s="54"/>
      <c r="H206" s="61"/>
    </row>
    <row r="207" spans="1:8" x14ac:dyDescent="0.2">
      <c r="H207" s="48"/>
    </row>
    <row r="208" spans="1:8" ht="15" x14ac:dyDescent="0.25">
      <c r="B208" s="54"/>
      <c r="C208" s="54"/>
      <c r="D208" s="54"/>
      <c r="E208" s="59" t="s">
        <v>653</v>
      </c>
      <c r="F208" s="54"/>
      <c r="G208" s="54"/>
      <c r="H208" s="61"/>
    </row>
    <row r="209" spans="2:8" ht="15" x14ac:dyDescent="0.25">
      <c r="B209" s="54"/>
      <c r="C209" s="54"/>
      <c r="D209" s="54"/>
      <c r="E209" s="74" t="str">
        <f>+E157</f>
        <v>2023 - 2024 BUDGET</v>
      </c>
      <c r="F209" s="54"/>
      <c r="G209" s="54"/>
      <c r="H209" s="61"/>
    </row>
    <row r="210" spans="2:8" ht="15" x14ac:dyDescent="0.25">
      <c r="B210" s="54"/>
      <c r="C210" s="54"/>
      <c r="D210" s="54"/>
      <c r="E210" s="59" t="s">
        <v>108</v>
      </c>
      <c r="F210" s="54"/>
      <c r="G210" s="54"/>
      <c r="H210" s="61"/>
    </row>
    <row r="211" spans="2:8" ht="14.25" x14ac:dyDescent="0.2">
      <c r="B211" s="54"/>
      <c r="C211" s="54"/>
      <c r="D211" s="54"/>
      <c r="E211" s="54"/>
      <c r="F211" s="54"/>
      <c r="G211" s="54"/>
      <c r="H211" s="61"/>
    </row>
    <row r="212" spans="2:8" ht="14.25" x14ac:dyDescent="0.2">
      <c r="B212" s="54" t="s">
        <v>123</v>
      </c>
      <c r="C212" s="54"/>
      <c r="D212" s="54"/>
      <c r="E212" s="54"/>
      <c r="F212" s="54"/>
      <c r="G212" s="54"/>
      <c r="H212" s="61">
        <v>9</v>
      </c>
    </row>
    <row r="213" spans="2:8" ht="14.25" x14ac:dyDescent="0.2">
      <c r="B213" s="54"/>
      <c r="C213" s="54"/>
      <c r="D213" s="54"/>
      <c r="E213" s="54"/>
      <c r="F213" s="54"/>
      <c r="G213" s="54"/>
      <c r="H213" s="61"/>
    </row>
    <row r="214" spans="2:8" ht="14.25" x14ac:dyDescent="0.2">
      <c r="B214" s="54" t="s">
        <v>124</v>
      </c>
      <c r="C214" s="54"/>
      <c r="D214" s="54"/>
      <c r="E214" s="54"/>
      <c r="F214" s="54"/>
      <c r="G214" s="54"/>
      <c r="H214" s="63">
        <v>9</v>
      </c>
    </row>
    <row r="215" spans="2:8" ht="14.25" x14ac:dyDescent="0.2">
      <c r="B215" s="54"/>
      <c r="C215" s="54"/>
      <c r="D215" s="54"/>
      <c r="E215" s="54"/>
      <c r="F215" s="54"/>
      <c r="G215" s="54"/>
      <c r="H215" s="61"/>
    </row>
    <row r="216" spans="2:8" ht="14.25" x14ac:dyDescent="0.2">
      <c r="B216" s="54" t="s">
        <v>125</v>
      </c>
      <c r="C216" s="54"/>
      <c r="D216" s="54"/>
      <c r="E216" s="54"/>
      <c r="F216" s="54"/>
      <c r="G216" s="54"/>
      <c r="H216" s="63">
        <v>9</v>
      </c>
    </row>
    <row r="217" spans="2:8" ht="14.25" x14ac:dyDescent="0.2">
      <c r="B217" s="54"/>
      <c r="C217" s="54"/>
      <c r="D217" s="54"/>
      <c r="E217" s="54"/>
      <c r="F217" s="54"/>
      <c r="G217" s="54"/>
      <c r="H217" s="61"/>
    </row>
    <row r="218" spans="2:8" ht="14.25" x14ac:dyDescent="0.2">
      <c r="B218" s="54" t="s">
        <v>99</v>
      </c>
      <c r="C218" s="54"/>
      <c r="D218" s="54"/>
      <c r="E218" s="54"/>
      <c r="F218" s="54"/>
      <c r="G218" s="54"/>
      <c r="H218" s="63">
        <v>10</v>
      </c>
    </row>
    <row r="219" spans="2:8" ht="14.25" x14ac:dyDescent="0.2">
      <c r="B219" s="54"/>
      <c r="C219" s="54"/>
      <c r="D219" s="54"/>
      <c r="E219" s="54"/>
      <c r="F219" s="54"/>
      <c r="G219" s="54"/>
      <c r="H219" s="61"/>
    </row>
    <row r="220" spans="2:8" ht="14.25" x14ac:dyDescent="0.2">
      <c r="B220" s="54" t="s">
        <v>126</v>
      </c>
      <c r="C220" s="54"/>
      <c r="D220" s="54"/>
      <c r="E220" s="54"/>
      <c r="F220" s="54"/>
      <c r="G220" s="54"/>
      <c r="H220" s="63">
        <v>10</v>
      </c>
    </row>
    <row r="221" spans="2:8" ht="14.25" x14ac:dyDescent="0.2">
      <c r="B221" s="54"/>
      <c r="C221" s="54"/>
      <c r="D221" s="54"/>
      <c r="E221" s="54"/>
      <c r="F221" s="54"/>
      <c r="G221" s="54"/>
      <c r="H221" s="61"/>
    </row>
    <row r="222" spans="2:8" ht="14.25" x14ac:dyDescent="0.2">
      <c r="B222" s="54" t="s">
        <v>127</v>
      </c>
      <c r="C222" s="54"/>
      <c r="D222" s="54"/>
      <c r="E222" s="54"/>
      <c r="F222" s="54"/>
      <c r="G222" s="54"/>
      <c r="H222" s="63">
        <v>10</v>
      </c>
    </row>
    <row r="223" spans="2:8" ht="14.25" x14ac:dyDescent="0.2">
      <c r="B223" s="54"/>
      <c r="C223" s="54"/>
      <c r="D223" s="54"/>
      <c r="E223" s="54"/>
      <c r="F223" s="54"/>
      <c r="G223" s="54"/>
      <c r="H223" s="61"/>
    </row>
    <row r="224" spans="2:8" ht="14.25" x14ac:dyDescent="0.2">
      <c r="B224" s="67" t="s">
        <v>2318</v>
      </c>
      <c r="C224" s="54"/>
      <c r="D224" s="54"/>
      <c r="E224" s="54"/>
      <c r="F224" s="54"/>
      <c r="G224" s="54"/>
      <c r="H224" s="63">
        <v>11</v>
      </c>
    </row>
    <row r="225" spans="2:8" ht="14.25" x14ac:dyDescent="0.2">
      <c r="B225" s="54"/>
      <c r="C225" s="54"/>
      <c r="D225" s="54"/>
      <c r="E225" s="54"/>
      <c r="F225" s="54"/>
      <c r="G225" s="54"/>
      <c r="H225" s="61"/>
    </row>
    <row r="226" spans="2:8" ht="14.25" x14ac:dyDescent="0.2">
      <c r="B226" s="54" t="s">
        <v>1568</v>
      </c>
      <c r="C226" s="54"/>
      <c r="D226" s="54"/>
      <c r="E226" s="54"/>
      <c r="F226" s="54"/>
      <c r="G226" s="54"/>
      <c r="H226" s="63">
        <v>11</v>
      </c>
    </row>
    <row r="227" spans="2:8" ht="14.25" x14ac:dyDescent="0.2">
      <c r="B227" s="54"/>
      <c r="C227" s="54"/>
      <c r="D227" s="54"/>
      <c r="E227" s="54"/>
      <c r="F227" s="54"/>
      <c r="G227" s="54"/>
      <c r="H227" s="61"/>
    </row>
    <row r="228" spans="2:8" ht="14.25" x14ac:dyDescent="0.2">
      <c r="B228" s="54" t="s">
        <v>1569</v>
      </c>
      <c r="C228" s="54"/>
      <c r="D228" s="54"/>
      <c r="E228" s="54"/>
      <c r="F228" s="54"/>
      <c r="G228" s="54"/>
      <c r="H228" s="63">
        <v>12</v>
      </c>
    </row>
    <row r="229" spans="2:8" ht="14.25" x14ac:dyDescent="0.2">
      <c r="B229" s="54"/>
      <c r="C229" s="54"/>
      <c r="D229" s="54"/>
      <c r="E229" s="54"/>
      <c r="F229" s="54"/>
      <c r="G229" s="54"/>
      <c r="H229" s="61"/>
    </row>
    <row r="230" spans="2:8" ht="14.25" x14ac:dyDescent="0.2">
      <c r="B230" s="54" t="s">
        <v>1570</v>
      </c>
      <c r="C230" s="54"/>
      <c r="D230" s="54"/>
      <c r="E230" s="54"/>
      <c r="F230" s="54"/>
      <c r="G230" s="54"/>
      <c r="H230" s="63">
        <v>12</v>
      </c>
    </row>
    <row r="231" spans="2:8" ht="14.25" x14ac:dyDescent="0.2">
      <c r="B231" s="54"/>
      <c r="C231" s="54"/>
      <c r="D231" s="54"/>
      <c r="E231" s="54"/>
      <c r="F231" s="54"/>
      <c r="G231" s="54"/>
      <c r="H231" s="61"/>
    </row>
    <row r="232" spans="2:8" ht="14.25" x14ac:dyDescent="0.2">
      <c r="B232" s="54" t="s">
        <v>1571</v>
      </c>
      <c r="C232" s="54"/>
      <c r="D232" s="54"/>
      <c r="E232" s="54"/>
      <c r="F232" s="54"/>
      <c r="G232" s="54"/>
      <c r="H232" s="63">
        <v>13</v>
      </c>
    </row>
    <row r="233" spans="2:8" ht="14.25" x14ac:dyDescent="0.2">
      <c r="B233" s="54"/>
      <c r="C233" s="54"/>
      <c r="D233" s="54"/>
      <c r="E233" s="54"/>
      <c r="F233" s="54"/>
      <c r="G233" s="54"/>
      <c r="H233" s="61"/>
    </row>
    <row r="234" spans="2:8" ht="14.25" x14ac:dyDescent="0.2">
      <c r="B234" s="54" t="s">
        <v>1572</v>
      </c>
      <c r="C234" s="54"/>
      <c r="D234" s="54"/>
      <c r="E234" s="54"/>
      <c r="F234" s="54"/>
      <c r="G234" s="54"/>
      <c r="H234" s="63">
        <v>13</v>
      </c>
    </row>
    <row r="235" spans="2:8" ht="14.25" x14ac:dyDescent="0.2">
      <c r="B235" s="54" t="s">
        <v>1433</v>
      </c>
      <c r="C235" s="54"/>
      <c r="D235" s="54"/>
      <c r="E235" s="54"/>
      <c r="F235" s="54"/>
      <c r="G235" s="54"/>
      <c r="H235" s="61"/>
    </row>
    <row r="236" spans="2:8" ht="14.25" x14ac:dyDescent="0.2">
      <c r="B236" s="54" t="s">
        <v>1573</v>
      </c>
      <c r="C236" s="54"/>
      <c r="D236" s="54"/>
      <c r="E236" s="54"/>
      <c r="F236" s="54"/>
      <c r="G236" s="54"/>
      <c r="H236" s="63">
        <v>13</v>
      </c>
    </row>
    <row r="237" spans="2:8" ht="14.25" x14ac:dyDescent="0.2">
      <c r="B237" s="54"/>
      <c r="C237" s="54"/>
      <c r="D237" s="54"/>
      <c r="E237" s="54"/>
      <c r="F237" s="54"/>
      <c r="G237" s="54"/>
      <c r="H237" s="61"/>
    </row>
    <row r="238" spans="2:8" ht="14.25" x14ac:dyDescent="0.2">
      <c r="B238" s="54" t="s">
        <v>1574</v>
      </c>
      <c r="C238" s="54"/>
      <c r="D238" s="54"/>
      <c r="E238" s="54"/>
      <c r="F238" s="54"/>
      <c r="G238" s="54"/>
      <c r="H238" s="63">
        <v>14</v>
      </c>
    </row>
    <row r="239" spans="2:8" ht="14.25" x14ac:dyDescent="0.2">
      <c r="B239" s="54"/>
      <c r="C239" s="54"/>
      <c r="D239" s="54"/>
      <c r="E239" s="54"/>
      <c r="F239" s="54"/>
      <c r="G239" s="54"/>
      <c r="H239" s="61"/>
    </row>
    <row r="240" spans="2:8" ht="14.25" x14ac:dyDescent="0.2">
      <c r="B240" s="54" t="s">
        <v>316</v>
      </c>
      <c r="C240" s="54"/>
      <c r="D240" s="54"/>
      <c r="E240" s="54"/>
      <c r="F240" s="54"/>
      <c r="G240" s="54"/>
      <c r="H240" s="63">
        <v>15</v>
      </c>
    </row>
    <row r="241" spans="2:8" ht="14.25" x14ac:dyDescent="0.2">
      <c r="B241" s="54"/>
      <c r="C241" s="54"/>
      <c r="D241" s="54"/>
      <c r="E241" s="54"/>
      <c r="F241" s="54"/>
      <c r="G241" s="54"/>
      <c r="H241" s="61"/>
    </row>
    <row r="242" spans="2:8" ht="14.25" x14ac:dyDescent="0.2">
      <c r="B242" s="54" t="s">
        <v>1575</v>
      </c>
      <c r="C242" s="54"/>
      <c r="D242" s="54"/>
      <c r="E242" s="54"/>
      <c r="F242" s="54"/>
      <c r="G242" s="54"/>
      <c r="H242" s="61">
        <v>16</v>
      </c>
    </row>
    <row r="243" spans="2:8" ht="14.25" x14ac:dyDescent="0.2">
      <c r="B243" s="54"/>
      <c r="C243" s="54"/>
      <c r="D243" s="54"/>
      <c r="E243" s="54"/>
      <c r="F243" s="54"/>
      <c r="G243" s="54"/>
      <c r="H243" s="61"/>
    </row>
    <row r="244" spans="2:8" ht="14.25" x14ac:dyDescent="0.2">
      <c r="B244" s="54" t="s">
        <v>1576</v>
      </c>
      <c r="C244" s="54"/>
      <c r="D244" s="54"/>
      <c r="E244" s="54"/>
      <c r="F244" s="54"/>
      <c r="G244" s="54"/>
      <c r="H244" s="61">
        <v>16</v>
      </c>
    </row>
    <row r="245" spans="2:8" ht="14.25" x14ac:dyDescent="0.2">
      <c r="B245" s="54"/>
      <c r="C245" s="54"/>
      <c r="D245" s="54"/>
      <c r="E245" s="54"/>
      <c r="F245" s="54"/>
      <c r="G245" s="54"/>
      <c r="H245" s="61"/>
    </row>
    <row r="246" spans="2:8" ht="14.25" x14ac:dyDescent="0.2">
      <c r="B246" s="54" t="s">
        <v>1577</v>
      </c>
      <c r="C246" s="54"/>
      <c r="D246" s="54"/>
      <c r="E246" s="54"/>
      <c r="F246" s="54"/>
      <c r="G246" s="54"/>
      <c r="H246" s="63">
        <v>16</v>
      </c>
    </row>
    <row r="247" spans="2:8" ht="14.25" x14ac:dyDescent="0.2">
      <c r="B247" s="54"/>
      <c r="C247" s="54"/>
      <c r="D247" s="54"/>
      <c r="E247" s="54"/>
      <c r="F247" s="54"/>
      <c r="G247" s="54"/>
      <c r="H247" s="61"/>
    </row>
    <row r="248" spans="2:8" ht="14.25" x14ac:dyDescent="0.2">
      <c r="B248" s="54" t="s">
        <v>1246</v>
      </c>
      <c r="C248" s="54"/>
      <c r="D248" s="54"/>
      <c r="E248" s="54"/>
      <c r="F248" s="54"/>
      <c r="G248" s="54"/>
      <c r="H248" s="63">
        <v>16</v>
      </c>
    </row>
    <row r="249" spans="2:8" ht="14.25" x14ac:dyDescent="0.2">
      <c r="B249" s="54"/>
      <c r="C249" s="54"/>
      <c r="D249" s="54"/>
      <c r="E249" s="54"/>
      <c r="F249" s="54"/>
      <c r="G249" s="54"/>
      <c r="H249" s="61"/>
    </row>
    <row r="250" spans="2:8" ht="14.25" x14ac:dyDescent="0.2">
      <c r="B250" s="54" t="s">
        <v>1578</v>
      </c>
      <c r="C250" s="54"/>
      <c r="D250" s="54"/>
      <c r="E250" s="54"/>
      <c r="F250" s="54"/>
      <c r="G250" s="54"/>
      <c r="H250" s="63">
        <v>17</v>
      </c>
    </row>
    <row r="251" spans="2:8" ht="14.25" x14ac:dyDescent="0.2">
      <c r="B251" s="54"/>
      <c r="C251" s="54"/>
      <c r="D251" s="54"/>
      <c r="E251" s="54"/>
      <c r="F251" s="54"/>
      <c r="G251" s="54"/>
      <c r="H251" s="61"/>
    </row>
    <row r="252" spans="2:8" ht="14.25" x14ac:dyDescent="0.2">
      <c r="B252" s="54" t="s">
        <v>1579</v>
      </c>
      <c r="C252" s="54"/>
      <c r="D252" s="54"/>
      <c r="E252" s="54"/>
      <c r="F252" s="54" t="s">
        <v>1433</v>
      </c>
      <c r="G252" s="54"/>
      <c r="H252" s="63">
        <v>17</v>
      </c>
    </row>
    <row r="253" spans="2:8" ht="14.25" x14ac:dyDescent="0.2">
      <c r="B253" s="54"/>
      <c r="C253" s="54"/>
      <c r="D253" s="54"/>
      <c r="E253" s="54"/>
      <c r="F253" s="54"/>
      <c r="G253" s="54"/>
      <c r="H253" s="61"/>
    </row>
    <row r="254" spans="2:8" ht="14.25" x14ac:dyDescent="0.2">
      <c r="B254" s="54" t="s">
        <v>1580</v>
      </c>
      <c r="C254" s="54"/>
      <c r="D254" s="54"/>
      <c r="E254" s="54"/>
      <c r="F254" s="54"/>
      <c r="G254" s="54"/>
      <c r="H254" s="63">
        <v>17</v>
      </c>
    </row>
    <row r="255" spans="2:8" ht="14.25" x14ac:dyDescent="0.2">
      <c r="B255" s="54"/>
      <c r="C255" s="54"/>
      <c r="D255" s="54"/>
      <c r="E255" s="54"/>
      <c r="F255" s="54"/>
      <c r="G255" s="54"/>
      <c r="H255" s="61"/>
    </row>
    <row r="256" spans="2:8" x14ac:dyDescent="0.2">
      <c r="H256" s="48"/>
    </row>
    <row r="257" spans="2:8" x14ac:dyDescent="0.2">
      <c r="H257" s="48"/>
    </row>
    <row r="258" spans="2:8" x14ac:dyDescent="0.2">
      <c r="H258" s="48"/>
    </row>
    <row r="259" spans="2:8" x14ac:dyDescent="0.2">
      <c r="H259" s="48"/>
    </row>
    <row r="260" spans="2:8" ht="15" x14ac:dyDescent="0.25">
      <c r="B260" s="54"/>
      <c r="C260" s="54"/>
      <c r="D260" s="54"/>
      <c r="E260" s="59" t="s">
        <v>653</v>
      </c>
      <c r="F260" s="54"/>
      <c r="G260" s="54"/>
      <c r="H260" s="61"/>
    </row>
    <row r="261" spans="2:8" ht="15" x14ac:dyDescent="0.25">
      <c r="B261" s="54"/>
      <c r="C261" s="54"/>
      <c r="D261" s="54"/>
      <c r="E261" s="74" t="str">
        <f>+E209</f>
        <v>2023 - 2024 BUDGET</v>
      </c>
      <c r="F261" s="54"/>
      <c r="G261" s="54"/>
      <c r="H261" s="61"/>
    </row>
    <row r="262" spans="2:8" ht="15" x14ac:dyDescent="0.25">
      <c r="B262" s="54"/>
      <c r="C262" s="54"/>
      <c r="D262" s="54"/>
      <c r="E262" s="59" t="s">
        <v>108</v>
      </c>
      <c r="F262" s="54"/>
      <c r="G262" s="54"/>
      <c r="H262" s="61"/>
    </row>
    <row r="263" spans="2:8" ht="15" x14ac:dyDescent="0.25">
      <c r="B263" s="54"/>
      <c r="C263" s="54"/>
      <c r="D263" s="54"/>
      <c r="E263" s="59"/>
      <c r="F263" s="54"/>
      <c r="G263" s="54"/>
      <c r="H263" s="61"/>
    </row>
    <row r="264" spans="2:8" ht="14.25" x14ac:dyDescent="0.2">
      <c r="B264" s="54" t="s">
        <v>1581</v>
      </c>
      <c r="C264" s="54"/>
      <c r="D264" s="54"/>
      <c r="E264" s="54"/>
      <c r="F264" s="54"/>
      <c r="G264" s="54"/>
      <c r="H264" s="63">
        <v>17</v>
      </c>
    </row>
    <row r="265" spans="2:8" ht="14.25" x14ac:dyDescent="0.2">
      <c r="B265" s="54"/>
      <c r="C265" s="54"/>
      <c r="D265" s="54"/>
      <c r="E265" s="54"/>
      <c r="F265" s="54"/>
      <c r="G265" s="54"/>
      <c r="H265" s="61"/>
    </row>
    <row r="266" spans="2:8" ht="14.25" x14ac:dyDescent="0.2">
      <c r="B266" s="67" t="s">
        <v>2319</v>
      </c>
      <c r="C266" s="54"/>
      <c r="D266" s="54"/>
      <c r="E266" s="54"/>
      <c r="F266" s="54"/>
      <c r="G266" s="54"/>
      <c r="H266" s="61">
        <v>18</v>
      </c>
    </row>
    <row r="267" spans="2:8" ht="14.25" x14ac:dyDescent="0.2">
      <c r="B267" s="54"/>
      <c r="C267" s="54"/>
      <c r="D267" s="54"/>
      <c r="E267" s="54"/>
      <c r="F267" s="54"/>
      <c r="G267" s="54"/>
      <c r="H267" s="61"/>
    </row>
    <row r="268" spans="2:8" ht="14.25" x14ac:dyDescent="0.2">
      <c r="B268" s="54" t="s">
        <v>1582</v>
      </c>
      <c r="C268" s="54"/>
      <c r="D268" s="54"/>
      <c r="E268" s="54"/>
      <c r="F268" s="54"/>
      <c r="G268" s="54"/>
      <c r="H268" s="61">
        <v>18</v>
      </c>
    </row>
    <row r="269" spans="2:8" ht="14.25" x14ac:dyDescent="0.2">
      <c r="B269" s="54"/>
      <c r="C269" s="54"/>
      <c r="D269" s="54"/>
      <c r="E269" s="54"/>
      <c r="F269" s="54"/>
      <c r="G269" s="54"/>
      <c r="H269" s="61"/>
    </row>
    <row r="270" spans="2:8" ht="14.25" x14ac:dyDescent="0.2">
      <c r="B270" s="54" t="s">
        <v>610</v>
      </c>
      <c r="C270" s="54"/>
      <c r="D270" s="54"/>
      <c r="E270" s="54"/>
      <c r="F270" s="54"/>
      <c r="G270" s="54"/>
      <c r="H270" s="63">
        <v>18</v>
      </c>
    </row>
    <row r="271" spans="2:8" ht="14.25" x14ac:dyDescent="0.2">
      <c r="B271" s="54"/>
      <c r="C271" s="54"/>
      <c r="D271" s="54"/>
      <c r="E271" s="54"/>
      <c r="F271" s="54"/>
      <c r="G271" s="54"/>
      <c r="H271" s="61"/>
    </row>
    <row r="272" spans="2:8" ht="14.25" x14ac:dyDescent="0.2">
      <c r="B272" s="54" t="s">
        <v>68</v>
      </c>
      <c r="C272" s="54"/>
      <c r="D272" s="54"/>
      <c r="E272" s="54"/>
      <c r="F272" s="54"/>
      <c r="G272" s="54"/>
      <c r="H272" s="63">
        <v>19</v>
      </c>
    </row>
    <row r="273" spans="2:8" ht="14.25" x14ac:dyDescent="0.2">
      <c r="B273" s="54"/>
      <c r="C273" s="54"/>
      <c r="D273" s="54"/>
      <c r="E273" s="54"/>
      <c r="F273" s="54"/>
      <c r="G273" s="54"/>
      <c r="H273" s="61"/>
    </row>
    <row r="274" spans="2:8" ht="14.25" x14ac:dyDescent="0.2">
      <c r="B274" s="54" t="s">
        <v>1630</v>
      </c>
      <c r="C274" s="54"/>
      <c r="D274" s="54"/>
      <c r="E274" s="54"/>
      <c r="F274" s="54"/>
      <c r="G274" s="54"/>
      <c r="H274" s="63">
        <v>20</v>
      </c>
    </row>
    <row r="275" spans="2:8" ht="14.25" x14ac:dyDescent="0.2">
      <c r="B275" s="54"/>
      <c r="C275" s="54"/>
      <c r="D275" s="54"/>
      <c r="E275" s="54"/>
      <c r="F275" s="54"/>
      <c r="G275" s="54"/>
      <c r="H275" s="61"/>
    </row>
    <row r="276" spans="2:8" ht="14.25" x14ac:dyDescent="0.2">
      <c r="B276" s="67" t="s">
        <v>1770</v>
      </c>
      <c r="C276" s="54"/>
      <c r="D276" s="54"/>
      <c r="E276" s="54"/>
      <c r="F276" s="54"/>
      <c r="G276" s="54"/>
      <c r="H276" s="63">
        <v>21</v>
      </c>
    </row>
    <row r="277" spans="2:8" ht="14.25" x14ac:dyDescent="0.2">
      <c r="B277" s="54"/>
      <c r="C277" s="54"/>
      <c r="D277" s="54"/>
      <c r="E277" s="54"/>
      <c r="F277" s="54"/>
      <c r="G277" s="54"/>
      <c r="H277" s="61"/>
    </row>
    <row r="278" spans="2:8" ht="14.25" x14ac:dyDescent="0.2">
      <c r="B278" s="54" t="s">
        <v>67</v>
      </c>
      <c r="C278" s="54"/>
      <c r="D278" s="54"/>
      <c r="E278" s="54"/>
      <c r="F278" s="54"/>
      <c r="G278" s="54"/>
      <c r="H278" s="99" t="s">
        <v>2643</v>
      </c>
    </row>
    <row r="279" spans="2:8" ht="14.25" x14ac:dyDescent="0.2">
      <c r="B279" s="54"/>
      <c r="C279" s="54"/>
      <c r="D279" s="54"/>
      <c r="E279" s="54"/>
      <c r="F279" s="54"/>
      <c r="G279" s="54"/>
      <c r="H279" s="61"/>
    </row>
    <row r="280" spans="2:8" ht="14.25" x14ac:dyDescent="0.2">
      <c r="B280" s="54" t="s">
        <v>1248</v>
      </c>
      <c r="C280" s="54"/>
      <c r="D280" s="54"/>
      <c r="E280" s="54"/>
      <c r="F280" s="54"/>
      <c r="G280" s="54"/>
      <c r="H280" s="63">
        <v>24</v>
      </c>
    </row>
    <row r="281" spans="2:8" ht="14.25" x14ac:dyDescent="0.2">
      <c r="B281" s="54"/>
      <c r="C281" s="54"/>
      <c r="D281" s="54"/>
      <c r="E281" s="54"/>
      <c r="F281" s="54"/>
      <c r="G281" s="54"/>
      <c r="H281" s="61"/>
    </row>
    <row r="282" spans="2:8" ht="14.25" x14ac:dyDescent="0.2">
      <c r="B282" s="54" t="s">
        <v>1647</v>
      </c>
      <c r="C282" s="54"/>
      <c r="D282" s="54"/>
      <c r="E282" s="54"/>
      <c r="F282" s="54"/>
      <c r="G282" s="54"/>
      <c r="H282" s="61">
        <v>25</v>
      </c>
    </row>
    <row r="283" spans="2:8" ht="14.25" x14ac:dyDescent="0.2">
      <c r="B283" s="54"/>
      <c r="C283" s="54"/>
      <c r="D283" s="54"/>
      <c r="E283" s="54"/>
      <c r="F283" s="54"/>
      <c r="G283" s="54"/>
      <c r="H283" s="61"/>
    </row>
    <row r="284" spans="2:8" ht="14.25" x14ac:dyDescent="0.2">
      <c r="B284" s="54" t="s">
        <v>1648</v>
      </c>
      <c r="C284" s="54"/>
      <c r="D284" s="54"/>
      <c r="E284" s="54"/>
      <c r="F284" s="54"/>
      <c r="G284" s="54"/>
      <c r="H284" s="63">
        <v>26</v>
      </c>
    </row>
    <row r="285" spans="2:8" ht="14.25" x14ac:dyDescent="0.2">
      <c r="B285" s="54"/>
      <c r="C285" s="54"/>
      <c r="D285" s="54"/>
      <c r="E285" s="54"/>
      <c r="F285" s="54"/>
      <c r="G285" s="54"/>
      <c r="H285" s="61"/>
    </row>
    <row r="286" spans="2:8" ht="14.25" x14ac:dyDescent="0.2">
      <c r="B286" s="54" t="s">
        <v>1649</v>
      </c>
      <c r="C286" s="54"/>
      <c r="D286" s="54"/>
      <c r="E286" s="54"/>
      <c r="F286" s="54"/>
      <c r="G286" s="54"/>
      <c r="H286" s="61">
        <v>27</v>
      </c>
    </row>
    <row r="287" spans="2:8" ht="14.25" x14ac:dyDescent="0.2">
      <c r="B287" s="54"/>
      <c r="C287" s="54"/>
      <c r="D287" s="54"/>
      <c r="E287" s="54"/>
      <c r="F287" s="54"/>
      <c r="G287" s="54"/>
      <c r="H287" s="61"/>
    </row>
    <row r="288" spans="2:8" ht="14.25" x14ac:dyDescent="0.2">
      <c r="B288" s="54" t="s">
        <v>1634</v>
      </c>
      <c r="C288" s="54"/>
      <c r="D288" s="54"/>
      <c r="E288" s="54"/>
      <c r="F288" s="54"/>
      <c r="G288" s="54"/>
      <c r="H288" s="61">
        <v>28</v>
      </c>
    </row>
    <row r="289" spans="2:8" ht="14.25" x14ac:dyDescent="0.2">
      <c r="B289" s="54"/>
      <c r="C289" s="54"/>
      <c r="D289" s="54"/>
      <c r="E289" s="54"/>
      <c r="F289" s="54"/>
      <c r="G289" s="54"/>
      <c r="H289" s="61"/>
    </row>
    <row r="290" spans="2:8" ht="14.25" x14ac:dyDescent="0.2">
      <c r="B290" s="54" t="s">
        <v>69</v>
      </c>
      <c r="C290" s="54"/>
      <c r="D290" s="54"/>
      <c r="E290" s="54"/>
      <c r="F290" s="54"/>
      <c r="G290" s="54"/>
      <c r="H290" s="61">
        <v>29</v>
      </c>
    </row>
    <row r="291" spans="2:8" ht="14.25" x14ac:dyDescent="0.2">
      <c r="B291" s="54"/>
      <c r="C291" s="54"/>
      <c r="D291" s="54"/>
      <c r="E291" s="54"/>
      <c r="F291" s="54"/>
      <c r="G291" s="54"/>
      <c r="H291" s="61"/>
    </row>
    <row r="292" spans="2:8" ht="14.25" x14ac:dyDescent="0.2">
      <c r="B292" s="67" t="s">
        <v>1714</v>
      </c>
      <c r="C292" s="54"/>
      <c r="D292" s="54"/>
      <c r="E292" s="54"/>
      <c r="F292" s="54"/>
      <c r="G292" s="54"/>
      <c r="H292" s="61">
        <v>30</v>
      </c>
    </row>
    <row r="293" spans="2:8" ht="14.25" x14ac:dyDescent="0.2">
      <c r="B293" s="54"/>
      <c r="C293" s="54"/>
      <c r="D293" s="54"/>
      <c r="E293" s="54"/>
      <c r="F293" s="54"/>
      <c r="G293" s="54"/>
      <c r="H293" s="61"/>
    </row>
    <row r="294" spans="2:8" ht="14.25" x14ac:dyDescent="0.2">
      <c r="B294" s="67" t="s">
        <v>1722</v>
      </c>
      <c r="C294" s="54"/>
      <c r="D294" s="54"/>
      <c r="E294" s="54"/>
      <c r="F294" s="54"/>
      <c r="G294" s="54"/>
      <c r="H294" s="61">
        <v>31</v>
      </c>
    </row>
    <row r="295" spans="2:8" ht="14.25" x14ac:dyDescent="0.2">
      <c r="B295" s="54"/>
      <c r="C295" s="54"/>
      <c r="D295" s="54"/>
      <c r="E295" s="54"/>
      <c r="F295" s="54"/>
      <c r="G295" s="54"/>
      <c r="H295" s="61"/>
    </row>
    <row r="296" spans="2:8" ht="14.25" x14ac:dyDescent="0.2">
      <c r="B296" s="54" t="s">
        <v>1635</v>
      </c>
      <c r="C296" s="54"/>
      <c r="D296" s="54"/>
      <c r="E296" s="54"/>
      <c r="F296" s="54"/>
      <c r="G296" s="54"/>
      <c r="H296" s="61">
        <v>32</v>
      </c>
    </row>
    <row r="297" spans="2:8" ht="14.25" x14ac:dyDescent="0.2">
      <c r="B297" s="54"/>
      <c r="C297" s="54"/>
      <c r="D297" s="54"/>
      <c r="E297" s="54"/>
      <c r="F297" s="54"/>
      <c r="G297" s="54"/>
      <c r="H297" s="61"/>
    </row>
    <row r="298" spans="2:8" ht="14.25" x14ac:dyDescent="0.2">
      <c r="B298" s="67" t="s">
        <v>1686</v>
      </c>
      <c r="C298" s="54"/>
      <c r="D298" s="54"/>
      <c r="E298" s="54"/>
      <c r="F298" s="54"/>
      <c r="G298" s="54"/>
      <c r="H298" s="61">
        <v>33</v>
      </c>
    </row>
    <row r="299" spans="2:8" ht="14.25" x14ac:dyDescent="0.2">
      <c r="B299" s="54"/>
      <c r="C299" s="54"/>
      <c r="D299" s="54"/>
      <c r="E299" s="54"/>
      <c r="F299" s="54"/>
      <c r="G299" s="54"/>
      <c r="H299" s="61"/>
    </row>
    <row r="300" spans="2:8" ht="14.25" x14ac:dyDescent="0.2">
      <c r="B300" s="67" t="s">
        <v>1687</v>
      </c>
      <c r="C300" s="54"/>
      <c r="D300" s="54"/>
      <c r="E300" s="54"/>
      <c r="F300" s="54"/>
      <c r="G300" s="54"/>
      <c r="H300" s="61">
        <v>34</v>
      </c>
    </row>
    <row r="301" spans="2:8" ht="14.25" x14ac:dyDescent="0.2">
      <c r="B301" s="54"/>
      <c r="C301" s="54"/>
      <c r="D301" s="54"/>
      <c r="E301" s="54"/>
      <c r="F301" s="54"/>
      <c r="G301" s="54"/>
      <c r="H301" s="61"/>
    </row>
    <row r="302" spans="2:8" ht="14.25" x14ac:dyDescent="0.2">
      <c r="B302" s="54" t="s">
        <v>1250</v>
      </c>
      <c r="C302" s="54"/>
      <c r="D302" s="54"/>
      <c r="E302" s="54"/>
      <c r="F302" s="54"/>
      <c r="G302" s="54"/>
      <c r="H302" s="61">
        <v>35</v>
      </c>
    </row>
    <row r="303" spans="2:8" ht="14.25" x14ac:dyDescent="0.2">
      <c r="B303" s="54"/>
      <c r="C303" s="54"/>
      <c r="D303" s="54"/>
      <c r="E303" s="54"/>
      <c r="F303" s="54"/>
      <c r="G303" s="54"/>
      <c r="H303" s="61"/>
    </row>
    <row r="304" spans="2:8" ht="14.25" x14ac:dyDescent="0.2">
      <c r="B304" s="54" t="s">
        <v>70</v>
      </c>
      <c r="C304" s="54"/>
      <c r="D304" s="54"/>
      <c r="E304" s="54"/>
      <c r="F304" s="54"/>
      <c r="G304" s="54"/>
      <c r="H304" s="61">
        <v>36</v>
      </c>
    </row>
    <row r="305" spans="1:8" ht="14.25" x14ac:dyDescent="0.2">
      <c r="B305" s="54"/>
      <c r="C305" s="54"/>
      <c r="D305" s="54"/>
      <c r="E305" s="54"/>
      <c r="F305" s="54"/>
      <c r="G305" s="54"/>
      <c r="H305" s="61"/>
    </row>
    <row r="306" spans="1:8" ht="14.25" x14ac:dyDescent="0.2">
      <c r="B306" s="54" t="s">
        <v>71</v>
      </c>
      <c r="C306" s="54"/>
      <c r="D306" s="54"/>
      <c r="E306" s="54"/>
      <c r="F306" s="54"/>
      <c r="G306" s="54"/>
      <c r="H306" s="99" t="s">
        <v>2644</v>
      </c>
    </row>
    <row r="307" spans="1:8" ht="14.25" x14ac:dyDescent="0.2">
      <c r="B307" s="54"/>
      <c r="C307" s="54"/>
      <c r="D307" s="54"/>
      <c r="E307" s="54"/>
      <c r="F307" s="54"/>
      <c r="G307" s="54"/>
      <c r="H307" s="61"/>
    </row>
    <row r="308" spans="1:8" ht="14.25" x14ac:dyDescent="0.2">
      <c r="B308" s="54" t="s">
        <v>72</v>
      </c>
      <c r="C308" s="54"/>
      <c r="D308" s="54"/>
      <c r="E308" s="54"/>
      <c r="F308" s="54"/>
      <c r="G308" s="54"/>
      <c r="H308" s="99" t="s">
        <v>2645</v>
      </c>
    </row>
    <row r="309" spans="1:8" ht="14.25" x14ac:dyDescent="0.2">
      <c r="B309" s="54"/>
      <c r="C309" s="54"/>
      <c r="D309" s="54"/>
      <c r="E309" s="54"/>
      <c r="F309" s="54"/>
      <c r="G309" s="54"/>
      <c r="H309" s="61"/>
    </row>
    <row r="310" spans="1:8" ht="15" x14ac:dyDescent="0.25">
      <c r="A310" s="54"/>
      <c r="B310" s="54"/>
      <c r="C310" s="54"/>
      <c r="D310" s="54"/>
      <c r="E310" s="59" t="s">
        <v>653</v>
      </c>
      <c r="F310" s="54"/>
      <c r="G310" s="54"/>
      <c r="H310" s="61"/>
    </row>
    <row r="311" spans="1:8" ht="15" x14ac:dyDescent="0.25">
      <c r="A311" s="54"/>
      <c r="B311" s="54"/>
      <c r="C311" s="54"/>
      <c r="D311" s="54"/>
      <c r="E311" s="74" t="str">
        <f>+E261</f>
        <v>2023 - 2024 BUDGET</v>
      </c>
      <c r="F311" s="54"/>
      <c r="G311" s="54"/>
      <c r="H311" s="61"/>
    </row>
    <row r="312" spans="1:8" ht="15" x14ac:dyDescent="0.25">
      <c r="A312" s="54"/>
      <c r="B312" s="54"/>
      <c r="C312" s="54"/>
      <c r="D312" s="54"/>
      <c r="E312" s="59" t="s">
        <v>108</v>
      </c>
      <c r="F312" s="54"/>
      <c r="G312" s="54"/>
      <c r="H312" s="61"/>
    </row>
    <row r="313" spans="1:8" ht="15" x14ac:dyDescent="0.25">
      <c r="A313" s="54"/>
      <c r="B313" s="54"/>
      <c r="C313" s="54"/>
      <c r="D313" s="54"/>
      <c r="E313" s="59"/>
      <c r="F313" s="54"/>
      <c r="G313" s="54"/>
      <c r="H313" s="61"/>
    </row>
    <row r="314" spans="1:8" ht="14.25" hidden="1" x14ac:dyDescent="0.2">
      <c r="A314" s="54"/>
      <c r="B314" s="54" t="s">
        <v>1044</v>
      </c>
      <c r="C314" s="54"/>
      <c r="D314" s="54"/>
      <c r="E314" s="54"/>
      <c r="F314" s="54"/>
      <c r="G314" s="54"/>
      <c r="H314" s="63">
        <v>42</v>
      </c>
    </row>
    <row r="315" spans="1:8" ht="14.25" hidden="1" x14ac:dyDescent="0.2">
      <c r="A315" s="54"/>
      <c r="B315" s="54"/>
      <c r="C315" s="54"/>
      <c r="D315" s="54"/>
      <c r="E315" s="54"/>
      <c r="F315" s="54"/>
      <c r="G315" s="54"/>
      <c r="H315" s="61"/>
    </row>
    <row r="316" spans="1:8" s="13" customFormat="1" ht="14.25" x14ac:dyDescent="0.2">
      <c r="A316" s="64"/>
      <c r="B316" s="54" t="s">
        <v>74</v>
      </c>
      <c r="C316" s="64"/>
      <c r="D316" s="64"/>
      <c r="E316" s="64"/>
      <c r="F316" s="64"/>
      <c r="G316" s="64"/>
      <c r="H316" s="99" t="s">
        <v>2646</v>
      </c>
    </row>
    <row r="317" spans="1:8" s="13" customFormat="1" ht="14.25" x14ac:dyDescent="0.2">
      <c r="A317" s="64"/>
      <c r="B317" s="64"/>
      <c r="C317" s="64"/>
      <c r="D317" s="64"/>
      <c r="E317" s="64"/>
      <c r="F317" s="64"/>
      <c r="G317" s="64"/>
      <c r="H317" s="65"/>
    </row>
    <row r="318" spans="1:8" s="13" customFormat="1" ht="14.25" x14ac:dyDescent="0.2">
      <c r="A318" s="64"/>
      <c r="B318" s="154" t="s">
        <v>2384</v>
      </c>
      <c r="C318" s="64"/>
      <c r="D318" s="64"/>
      <c r="E318" s="64"/>
      <c r="F318" s="64"/>
      <c r="G318" s="64"/>
      <c r="H318" s="61">
        <v>45</v>
      </c>
    </row>
    <row r="319" spans="1:8" s="13" customFormat="1" ht="14.25" x14ac:dyDescent="0.2">
      <c r="A319" s="64"/>
      <c r="B319" s="64"/>
      <c r="C319" s="64"/>
      <c r="D319" s="64"/>
      <c r="E319" s="64"/>
      <c r="F319" s="64"/>
      <c r="G319" s="64"/>
      <c r="H319" s="65"/>
    </row>
    <row r="320" spans="1:8" ht="14.25" x14ac:dyDescent="0.2">
      <c r="A320" s="54"/>
      <c r="B320" s="54" t="s">
        <v>611</v>
      </c>
      <c r="C320" s="54"/>
      <c r="D320" s="54"/>
      <c r="E320" s="54"/>
      <c r="F320" s="54"/>
      <c r="G320" s="54"/>
      <c r="H320" s="99" t="s">
        <v>2647</v>
      </c>
    </row>
    <row r="321" spans="1:8" ht="14.25" x14ac:dyDescent="0.2">
      <c r="A321" s="54"/>
      <c r="B321" s="54"/>
      <c r="C321" s="54"/>
      <c r="D321" s="54"/>
      <c r="E321" s="54"/>
      <c r="F321" s="54"/>
      <c r="G321" s="54"/>
      <c r="H321" s="61"/>
    </row>
    <row r="322" spans="1:8" ht="14.25" x14ac:dyDescent="0.2">
      <c r="A322" s="54"/>
      <c r="B322" s="54" t="s">
        <v>75</v>
      </c>
      <c r="C322" s="54"/>
      <c r="D322" s="54"/>
      <c r="E322" s="54"/>
      <c r="F322" s="54"/>
      <c r="G322" s="54"/>
      <c r="H322" s="63">
        <v>53</v>
      </c>
    </row>
    <row r="323" spans="1:8" ht="14.25" x14ac:dyDescent="0.2">
      <c r="A323" s="54"/>
      <c r="B323" s="54"/>
      <c r="C323" s="54"/>
      <c r="D323" s="54"/>
      <c r="E323" s="54"/>
      <c r="F323" s="54"/>
      <c r="G323" s="54"/>
      <c r="H323" s="61"/>
    </row>
    <row r="324" spans="1:8" ht="14.25" x14ac:dyDescent="0.2">
      <c r="A324" s="54"/>
      <c r="B324" s="54" t="s">
        <v>1650</v>
      </c>
      <c r="C324" s="54"/>
      <c r="D324" s="54"/>
      <c r="E324" s="54"/>
      <c r="F324" s="54"/>
      <c r="G324" s="54"/>
      <c r="H324" s="63">
        <v>54</v>
      </c>
    </row>
    <row r="325" spans="1:8" ht="14.25" x14ac:dyDescent="0.2">
      <c r="A325" s="54"/>
      <c r="B325" s="54"/>
      <c r="C325" s="54"/>
      <c r="D325" s="54"/>
      <c r="E325" s="54"/>
      <c r="F325" s="54"/>
      <c r="G325" s="54"/>
      <c r="H325" s="61"/>
    </row>
    <row r="326" spans="1:8" ht="14.25" x14ac:dyDescent="0.2">
      <c r="A326" s="54"/>
      <c r="B326" s="54" t="s">
        <v>1651</v>
      </c>
      <c r="C326" s="54"/>
      <c r="D326" s="54"/>
      <c r="E326" s="54"/>
      <c r="F326" s="54"/>
      <c r="G326" s="54"/>
      <c r="H326" s="63">
        <v>55</v>
      </c>
    </row>
    <row r="327" spans="1:8" ht="14.25" x14ac:dyDescent="0.2">
      <c r="A327" s="54"/>
      <c r="B327" s="54"/>
      <c r="C327" s="54"/>
      <c r="D327" s="54"/>
      <c r="E327" s="54"/>
      <c r="F327" s="54"/>
      <c r="G327" s="54"/>
      <c r="H327" s="61"/>
    </row>
    <row r="328" spans="1:8" ht="14.25" x14ac:dyDescent="0.2">
      <c r="A328" s="54"/>
      <c r="B328" s="54" t="s">
        <v>1652</v>
      </c>
      <c r="C328" s="54"/>
      <c r="D328" s="54"/>
      <c r="E328" s="54"/>
      <c r="F328" s="54"/>
      <c r="G328" s="54"/>
      <c r="H328" s="63">
        <v>56</v>
      </c>
    </row>
    <row r="329" spans="1:8" ht="14.25" x14ac:dyDescent="0.2">
      <c r="A329" s="54"/>
      <c r="B329" s="54"/>
      <c r="C329" s="54"/>
      <c r="D329" s="54"/>
      <c r="E329" s="54"/>
      <c r="F329" s="54"/>
      <c r="G329" s="54"/>
      <c r="H329" s="61"/>
    </row>
    <row r="330" spans="1:8" ht="14.25" x14ac:dyDescent="0.2">
      <c r="A330" s="54"/>
      <c r="B330" s="54" t="s">
        <v>1642</v>
      </c>
      <c r="C330" s="54"/>
      <c r="D330" s="54"/>
      <c r="E330" s="54"/>
      <c r="F330" s="54"/>
      <c r="G330" s="54"/>
      <c r="H330" s="63">
        <v>60</v>
      </c>
    </row>
    <row r="331" spans="1:8" ht="14.25" x14ac:dyDescent="0.2">
      <c r="A331" s="54"/>
      <c r="B331" s="54"/>
      <c r="C331" s="54"/>
      <c r="D331" s="54"/>
      <c r="E331" s="54"/>
      <c r="F331" s="54"/>
      <c r="G331" s="54"/>
      <c r="H331" s="63"/>
    </row>
    <row r="332" spans="1:8" ht="14.25" x14ac:dyDescent="0.2">
      <c r="A332" s="54"/>
      <c r="B332" s="67" t="s">
        <v>2612</v>
      </c>
      <c r="C332" s="54"/>
      <c r="D332" s="54"/>
      <c r="E332" s="54"/>
      <c r="F332" s="54"/>
      <c r="G332" s="54"/>
      <c r="H332" s="63">
        <v>61</v>
      </c>
    </row>
    <row r="333" spans="1:8" ht="14.25" x14ac:dyDescent="0.2">
      <c r="A333" s="54"/>
      <c r="B333" s="54"/>
      <c r="C333" s="54"/>
      <c r="D333" s="54"/>
      <c r="E333" s="54"/>
      <c r="F333" s="54"/>
      <c r="G333" s="54"/>
      <c r="H333" s="61"/>
    </row>
    <row r="334" spans="1:8" ht="14.25" x14ac:dyDescent="0.2">
      <c r="A334" s="54"/>
      <c r="B334" s="54" t="s">
        <v>1653</v>
      </c>
      <c r="C334" s="54"/>
      <c r="D334" s="54"/>
      <c r="E334" s="54"/>
      <c r="F334" s="54"/>
      <c r="G334" s="54"/>
      <c r="H334" s="63">
        <v>62</v>
      </c>
    </row>
    <row r="335" spans="1:8" ht="14.25" x14ac:dyDescent="0.2">
      <c r="A335" s="54"/>
      <c r="B335" s="54"/>
      <c r="C335" s="54"/>
      <c r="D335" s="54"/>
      <c r="E335" s="54"/>
      <c r="F335" s="54"/>
      <c r="G335" s="54"/>
      <c r="H335" s="61"/>
    </row>
    <row r="336" spans="1:8" ht="14.25" x14ac:dyDescent="0.2">
      <c r="A336" s="54"/>
      <c r="B336" s="54" t="s">
        <v>76</v>
      </c>
      <c r="C336" s="54"/>
      <c r="D336" s="54"/>
      <c r="E336" s="54"/>
      <c r="F336" s="54"/>
      <c r="G336" s="54"/>
      <c r="H336" s="99" t="s">
        <v>2648</v>
      </c>
    </row>
    <row r="337" spans="1:8" ht="14.25" x14ac:dyDescent="0.2">
      <c r="A337" s="54"/>
      <c r="B337" s="54"/>
      <c r="C337" s="54"/>
      <c r="D337" s="54"/>
      <c r="E337" s="54"/>
      <c r="F337" s="54"/>
      <c r="G337" s="54"/>
      <c r="H337" s="61"/>
    </row>
    <row r="338" spans="1:8" ht="15" x14ac:dyDescent="0.25">
      <c r="A338" s="62" t="s">
        <v>77</v>
      </c>
      <c r="B338" s="54"/>
      <c r="C338" s="54"/>
      <c r="D338" s="54"/>
      <c r="E338" s="54"/>
      <c r="F338" s="54"/>
      <c r="G338" s="54"/>
      <c r="H338" s="61"/>
    </row>
    <row r="339" spans="1:8" ht="14.25" x14ac:dyDescent="0.2">
      <c r="A339" s="54"/>
      <c r="B339" s="54"/>
      <c r="C339" s="54"/>
      <c r="D339" s="54"/>
      <c r="E339" s="54"/>
      <c r="F339" s="54"/>
      <c r="G339" s="54"/>
      <c r="H339" s="61"/>
    </row>
    <row r="340" spans="1:8" ht="14.25" x14ac:dyDescent="0.2">
      <c r="A340" s="54"/>
      <c r="B340" s="54" t="s">
        <v>78</v>
      </c>
      <c r="C340" s="54"/>
      <c r="D340" s="54"/>
      <c r="E340" s="54"/>
      <c r="F340" s="54"/>
      <c r="G340" s="54"/>
      <c r="H340" s="63">
        <v>57</v>
      </c>
    </row>
    <row r="341" spans="1:8" ht="14.25" x14ac:dyDescent="0.2">
      <c r="A341" s="54"/>
      <c r="B341" s="54"/>
      <c r="C341" s="54"/>
      <c r="D341" s="54"/>
      <c r="E341" s="54"/>
      <c r="F341" s="54"/>
      <c r="G341" s="54"/>
      <c r="H341" s="61"/>
    </row>
    <row r="342" spans="1:8" ht="15" x14ac:dyDescent="0.25">
      <c r="A342" s="62" t="s">
        <v>79</v>
      </c>
      <c r="B342" s="54"/>
      <c r="C342" s="54"/>
      <c r="D342" s="54"/>
      <c r="E342" s="54"/>
      <c r="F342" s="54"/>
      <c r="G342" s="54"/>
      <c r="H342" s="61"/>
    </row>
    <row r="343" spans="1:8" ht="14.25" x14ac:dyDescent="0.2">
      <c r="A343" s="54"/>
      <c r="B343" s="54"/>
      <c r="C343" s="54"/>
      <c r="D343" s="54"/>
      <c r="E343" s="54"/>
      <c r="F343" s="54"/>
      <c r="G343" s="54"/>
      <c r="H343" s="61"/>
    </row>
    <row r="344" spans="1:8" ht="14.25" hidden="1" x14ac:dyDescent="0.2">
      <c r="A344" s="54"/>
      <c r="B344" s="54" t="s">
        <v>1043</v>
      </c>
      <c r="C344" s="54"/>
      <c r="D344" s="54"/>
      <c r="E344" s="54"/>
      <c r="F344" s="54"/>
      <c r="G344" s="54"/>
      <c r="H344" s="63"/>
    </row>
    <row r="345" spans="1:8" ht="14.25" hidden="1" x14ac:dyDescent="0.2">
      <c r="A345" s="54"/>
      <c r="B345" s="54"/>
      <c r="C345" s="54"/>
      <c r="D345" s="54"/>
      <c r="E345" s="54"/>
      <c r="F345" s="54"/>
      <c r="G345" s="54"/>
      <c r="H345" s="61"/>
    </row>
    <row r="346" spans="1:8" ht="14.25" x14ac:dyDescent="0.2">
      <c r="A346" s="54"/>
      <c r="B346" s="54" t="s">
        <v>927</v>
      </c>
      <c r="C346" s="54"/>
      <c r="D346" s="54"/>
      <c r="E346" s="54"/>
      <c r="F346" s="54"/>
      <c r="G346" s="54"/>
      <c r="H346" s="63">
        <v>58</v>
      </c>
    </row>
    <row r="347" spans="1:8" ht="14.25" x14ac:dyDescent="0.2">
      <c r="A347" s="54"/>
      <c r="B347" s="54"/>
      <c r="C347" s="54"/>
      <c r="D347" s="54"/>
      <c r="E347" s="54"/>
      <c r="F347" s="54"/>
      <c r="G347" s="54"/>
      <c r="H347" s="61"/>
    </row>
    <row r="348" spans="1:8" ht="14.25" x14ac:dyDescent="0.2">
      <c r="A348" s="54"/>
      <c r="B348" s="54" t="s">
        <v>337</v>
      </c>
      <c r="C348" s="54"/>
      <c r="D348" s="54"/>
      <c r="E348" s="54"/>
      <c r="F348" s="54"/>
      <c r="G348" s="54"/>
      <c r="H348" s="63">
        <v>59</v>
      </c>
    </row>
    <row r="349" spans="1:8" ht="14.25" x14ac:dyDescent="0.2">
      <c r="A349" s="54"/>
      <c r="B349" s="54"/>
      <c r="C349" s="54"/>
      <c r="D349" s="54"/>
      <c r="E349" s="54"/>
      <c r="F349" s="54"/>
      <c r="G349" s="54"/>
      <c r="H349" s="61"/>
    </row>
    <row r="350" spans="1:8" ht="15" x14ac:dyDescent="0.25">
      <c r="A350" s="62" t="s">
        <v>9</v>
      </c>
      <c r="B350" s="54"/>
      <c r="C350" s="54"/>
      <c r="D350" s="54"/>
      <c r="E350" s="54"/>
      <c r="F350" s="54"/>
      <c r="G350" s="54"/>
      <c r="H350" s="61"/>
    </row>
    <row r="351" spans="1:8" ht="14.25" x14ac:dyDescent="0.2">
      <c r="A351" s="54"/>
      <c r="B351" s="54"/>
      <c r="C351" s="54"/>
      <c r="D351" s="54"/>
      <c r="E351" s="54"/>
      <c r="F351" s="54"/>
      <c r="G351" s="54"/>
      <c r="H351" s="61"/>
    </row>
    <row r="352" spans="1:8" ht="14.25" x14ac:dyDescent="0.2">
      <c r="A352" s="54"/>
      <c r="B352" s="54" t="s">
        <v>10</v>
      </c>
      <c r="C352" s="54"/>
      <c r="D352" s="54"/>
      <c r="E352" s="54"/>
      <c r="F352" s="54"/>
      <c r="G352" s="54"/>
      <c r="H352" s="63">
        <v>65</v>
      </c>
    </row>
    <row r="353" spans="1:17" ht="14.25" x14ac:dyDescent="0.2">
      <c r="A353" s="54"/>
      <c r="B353" s="54"/>
      <c r="C353" s="54"/>
      <c r="D353" s="54"/>
      <c r="E353" s="54"/>
      <c r="F353" s="54"/>
      <c r="G353" s="54"/>
      <c r="H353" s="61"/>
    </row>
    <row r="354" spans="1:17" ht="14.25" x14ac:dyDescent="0.2">
      <c r="A354" s="54" t="s">
        <v>1433</v>
      </c>
      <c r="B354" s="54" t="s">
        <v>12</v>
      </c>
      <c r="C354" s="54"/>
      <c r="D354" s="54"/>
      <c r="E354" s="54"/>
      <c r="F354" s="54"/>
      <c r="G354" s="54"/>
      <c r="H354" s="63">
        <v>66</v>
      </c>
    </row>
    <row r="355" spans="1:17" ht="14.25" x14ac:dyDescent="0.2">
      <c r="A355" s="54"/>
      <c r="B355" s="54"/>
      <c r="C355" s="54"/>
      <c r="D355" s="54"/>
      <c r="E355" s="54"/>
      <c r="F355" s="54"/>
      <c r="G355" s="54"/>
      <c r="H355" s="55"/>
    </row>
    <row r="356" spans="1:17" ht="14.25" x14ac:dyDescent="0.2">
      <c r="A356" s="54"/>
      <c r="B356" s="54"/>
      <c r="C356" s="54"/>
      <c r="D356" s="54"/>
      <c r="E356" s="54"/>
      <c r="F356" s="54"/>
      <c r="G356" s="54"/>
      <c r="H356" s="55"/>
    </row>
    <row r="357" spans="1:17" ht="14.25" x14ac:dyDescent="0.2">
      <c r="A357" s="54"/>
      <c r="B357" s="54"/>
      <c r="C357" s="54"/>
      <c r="D357" s="54"/>
      <c r="E357" s="54"/>
      <c r="F357" s="54"/>
      <c r="G357" s="54"/>
      <c r="H357" s="55"/>
    </row>
    <row r="363" spans="1:17" ht="15" x14ac:dyDescent="0.25">
      <c r="A363" s="66" t="s">
        <v>653</v>
      </c>
      <c r="B363" s="67"/>
      <c r="C363" s="67"/>
      <c r="D363" s="67"/>
      <c r="E363" s="67"/>
      <c r="F363" s="67"/>
      <c r="G363" s="67"/>
      <c r="H363" s="68"/>
    </row>
    <row r="364" spans="1:17" ht="15" x14ac:dyDescent="0.25">
      <c r="A364" s="66" t="s">
        <v>2580</v>
      </c>
      <c r="B364" s="67"/>
      <c r="C364" s="67"/>
      <c r="D364" s="67"/>
      <c r="E364" s="67"/>
      <c r="F364" s="67"/>
      <c r="G364" s="67"/>
      <c r="H364" s="68"/>
      <c r="I364" s="6" t="s">
        <v>1659</v>
      </c>
      <c r="J364" s="152">
        <v>0.28489999999999999</v>
      </c>
      <c r="K364" s="4" t="s">
        <v>2639</v>
      </c>
    </row>
    <row r="365" spans="1:17" ht="14.25" x14ac:dyDescent="0.2">
      <c r="A365" s="67"/>
      <c r="B365" s="67"/>
      <c r="C365" s="67"/>
      <c r="D365" s="67"/>
      <c r="E365" s="67"/>
      <c r="F365" s="67"/>
      <c r="G365" s="67"/>
      <c r="H365" s="68"/>
      <c r="I365" s="116" t="s">
        <v>836</v>
      </c>
      <c r="J365" s="108">
        <v>10656511590</v>
      </c>
      <c r="K365" s="4" t="s">
        <v>2639</v>
      </c>
      <c r="P365">
        <v>0.3548</v>
      </c>
      <c r="Q365">
        <f>+J364-P365</f>
        <v>-6.9900000000000018E-2</v>
      </c>
    </row>
    <row r="366" spans="1:17" ht="14.25" x14ac:dyDescent="0.2">
      <c r="A366" s="67"/>
      <c r="B366" s="67"/>
      <c r="C366" s="67"/>
      <c r="D366" s="67"/>
      <c r="E366" s="67"/>
      <c r="F366" s="67"/>
      <c r="G366" s="67"/>
      <c r="H366" s="68"/>
      <c r="I366" s="116" t="s">
        <v>1774</v>
      </c>
      <c r="J366" s="108">
        <v>19406909</v>
      </c>
      <c r="K366" s="4" t="s">
        <v>2629</v>
      </c>
      <c r="M366" s="5" t="s">
        <v>1655</v>
      </c>
      <c r="P366" s="39" t="s">
        <v>2586</v>
      </c>
    </row>
    <row r="367" spans="1:17" ht="14.25" x14ac:dyDescent="0.2">
      <c r="A367" s="67" t="s">
        <v>272</v>
      </c>
      <c r="B367" s="67"/>
      <c r="C367" s="67"/>
      <c r="D367" s="67"/>
      <c r="E367" s="67"/>
      <c r="F367" s="69">
        <f>+J368</f>
        <v>10675918499</v>
      </c>
      <c r="G367" s="70" t="s">
        <v>1433</v>
      </c>
      <c r="H367" s="68"/>
      <c r="I367" s="6" t="s">
        <v>2399</v>
      </c>
      <c r="J367" s="108">
        <v>0</v>
      </c>
      <c r="K367" s="5"/>
      <c r="M367" s="9">
        <f>+J368</f>
        <v>10675918499</v>
      </c>
      <c r="N367" s="229"/>
      <c r="O367" s="9"/>
      <c r="P367" s="102">
        <v>8507250903</v>
      </c>
      <c r="Q367" s="102">
        <f>+M367-P367</f>
        <v>2168667596</v>
      </c>
    </row>
    <row r="368" spans="1:17" ht="14.25" x14ac:dyDescent="0.2">
      <c r="A368" s="67" t="s">
        <v>273</v>
      </c>
      <c r="B368" s="67"/>
      <c r="C368" s="67"/>
      <c r="D368" s="67"/>
      <c r="E368" s="67"/>
      <c r="F368" s="71">
        <f>+M368</f>
        <v>-803434265</v>
      </c>
      <c r="G368" s="72" t="s">
        <v>1433</v>
      </c>
      <c r="H368" s="68" t="s">
        <v>1433</v>
      </c>
      <c r="I368" s="50"/>
      <c r="J368" s="197">
        <f>SUM(J365:J367)</f>
        <v>10675918499</v>
      </c>
      <c r="M368" s="11">
        <v>-803434265</v>
      </c>
      <c r="N368" s="229"/>
      <c r="O368" s="9"/>
      <c r="P368" s="213">
        <v>-696526910</v>
      </c>
      <c r="Q368" s="213">
        <f t="shared" ref="Q368:Q373" si="0">+M368-P368</f>
        <v>-106907355</v>
      </c>
    </row>
    <row r="369" spans="1:17" ht="14.25" x14ac:dyDescent="0.2">
      <c r="A369" s="67" t="s">
        <v>851</v>
      </c>
      <c r="B369" s="67"/>
      <c r="C369" s="67"/>
      <c r="D369" s="67"/>
      <c r="E369" s="67"/>
      <c r="F369" s="69">
        <f>SUM(F367:F368)</f>
        <v>9872484234</v>
      </c>
      <c r="G369" s="67"/>
      <c r="H369" s="68"/>
      <c r="I369" s="50"/>
      <c r="J369" s="3"/>
      <c r="M369" s="9">
        <f>SUM(M367:M368)</f>
        <v>9872484234</v>
      </c>
      <c r="N369" s="102"/>
      <c r="O369" s="9"/>
      <c r="P369" s="9">
        <f>SUM(P367:P368)</f>
        <v>7810723993</v>
      </c>
      <c r="Q369" s="9">
        <f t="shared" si="0"/>
        <v>2061760241</v>
      </c>
    </row>
    <row r="370" spans="1:17" ht="14.25" x14ac:dyDescent="0.2">
      <c r="A370" s="67" t="s">
        <v>2640</v>
      </c>
      <c r="B370" s="67"/>
      <c r="C370" s="67"/>
      <c r="D370" s="67"/>
      <c r="E370" s="67"/>
      <c r="F370" s="69">
        <f>F369/100*J364</f>
        <v>28126707.582665998</v>
      </c>
      <c r="G370" s="67"/>
      <c r="H370" s="68"/>
      <c r="I370" s="50"/>
      <c r="J370" s="122"/>
      <c r="M370" s="9">
        <f>M369/100*J364</f>
        <v>28126707.582665998</v>
      </c>
      <c r="N370" s="102"/>
      <c r="O370" s="9"/>
      <c r="P370" s="9">
        <v>24291351.618230004</v>
      </c>
      <c r="Q370" s="9">
        <f t="shared" si="0"/>
        <v>3835355.9644359946</v>
      </c>
    </row>
    <row r="371" spans="1:17" ht="14.25" x14ac:dyDescent="0.2">
      <c r="A371" s="67" t="s">
        <v>852</v>
      </c>
      <c r="B371" s="67"/>
      <c r="C371" s="67"/>
      <c r="D371" s="67"/>
      <c r="E371" s="67"/>
      <c r="F371" s="71">
        <v>2065491.68</v>
      </c>
      <c r="G371" s="67"/>
      <c r="H371" s="68"/>
      <c r="I371" s="50"/>
      <c r="J371" s="117">
        <f>F370/33.98</f>
        <v>827743.01302725135</v>
      </c>
      <c r="M371" s="11">
        <f>+F371</f>
        <v>2065491.68</v>
      </c>
      <c r="N371" s="102"/>
      <c r="O371" s="9"/>
      <c r="P371" s="11">
        <v>1944295.75</v>
      </c>
      <c r="Q371" s="11">
        <f t="shared" si="0"/>
        <v>121195.92999999993</v>
      </c>
    </row>
    <row r="372" spans="1:17" ht="15" thickBot="1" x14ac:dyDescent="0.25">
      <c r="A372" s="67" t="s">
        <v>853</v>
      </c>
      <c r="B372" s="67"/>
      <c r="C372" s="67"/>
      <c r="D372" s="67"/>
      <c r="E372" s="67"/>
      <c r="F372" s="73">
        <f>SUM(F370:F371)</f>
        <v>30192199.262665998</v>
      </c>
      <c r="G372" s="153"/>
      <c r="H372" s="68"/>
      <c r="I372" s="216"/>
      <c r="M372" s="9">
        <f>SUM(M370:M371)</f>
        <v>30192199.262665998</v>
      </c>
      <c r="N372" s="102"/>
      <c r="O372" s="215" t="s">
        <v>2587</v>
      </c>
      <c r="P372" s="9">
        <f>SUM(P370:P371)</f>
        <v>26235647.368230004</v>
      </c>
      <c r="Q372" s="9">
        <f t="shared" si="0"/>
        <v>3956551.8944359943</v>
      </c>
    </row>
    <row r="373" spans="1:17" ht="15" thickTop="1" x14ac:dyDescent="0.2">
      <c r="A373" s="67"/>
      <c r="B373" s="67"/>
      <c r="C373" s="67"/>
      <c r="D373" s="67"/>
      <c r="E373" s="67"/>
      <c r="F373" s="67"/>
      <c r="G373" s="67"/>
      <c r="H373" s="68"/>
      <c r="I373" s="216"/>
      <c r="L373" s="119" t="s">
        <v>2442</v>
      </c>
      <c r="M373" s="102">
        <f>+M372*0.98</f>
        <v>29588355.277412679</v>
      </c>
      <c r="N373" s="102"/>
      <c r="O373" s="215"/>
      <c r="P373" s="102">
        <v>25710934</v>
      </c>
      <c r="Q373" s="102">
        <f t="shared" si="0"/>
        <v>3877421.277412679</v>
      </c>
    </row>
    <row r="374" spans="1:17" ht="15" thickBot="1" x14ac:dyDescent="0.25">
      <c r="A374" s="67"/>
      <c r="B374" s="67"/>
      <c r="C374" s="67"/>
      <c r="D374" s="67"/>
      <c r="E374" s="67"/>
      <c r="F374" s="67"/>
      <c r="G374" s="67"/>
      <c r="H374" s="68"/>
      <c r="I374" s="216"/>
      <c r="L374" s="13" t="s">
        <v>1775</v>
      </c>
      <c r="M374" s="97">
        <v>25710934</v>
      </c>
      <c r="N374" s="4"/>
      <c r="O374" s="9"/>
      <c r="P374" s="100"/>
    </row>
    <row r="375" spans="1:17" ht="15.75" thickBot="1" x14ac:dyDescent="0.3">
      <c r="A375" s="67"/>
      <c r="B375" s="67"/>
      <c r="C375" s="67"/>
      <c r="D375" s="67"/>
      <c r="E375" s="67"/>
      <c r="F375" s="67"/>
      <c r="G375" s="74" t="s">
        <v>13</v>
      </c>
      <c r="H375" s="75" t="s">
        <v>14</v>
      </c>
      <c r="M375" s="102">
        <f>+M373-M374</f>
        <v>3877421.277412679</v>
      </c>
      <c r="N375" s="214">
        <f>M375/M374</f>
        <v>0.15080826225187616</v>
      </c>
      <c r="O375" s="215" t="s">
        <v>2518</v>
      </c>
      <c r="P375" s="100"/>
    </row>
    <row r="376" spans="1:17" ht="15" x14ac:dyDescent="0.25">
      <c r="A376" s="67"/>
      <c r="B376" s="67"/>
      <c r="C376" s="67"/>
      <c r="D376" s="67"/>
      <c r="E376" s="76" t="s">
        <v>15</v>
      </c>
      <c r="F376" s="76" t="s">
        <v>1115</v>
      </c>
      <c r="G376" s="76" t="s">
        <v>880</v>
      </c>
      <c r="H376" s="77" t="s">
        <v>1116</v>
      </c>
      <c r="J376" s="51"/>
      <c r="P376" s="100"/>
    </row>
    <row r="377" spans="1:17" ht="14.25" x14ac:dyDescent="0.2">
      <c r="A377" s="67" t="s">
        <v>1117</v>
      </c>
      <c r="B377" s="67"/>
      <c r="C377" s="67"/>
      <c r="D377" s="67"/>
      <c r="E377" s="147">
        <f>$J$364*F377</f>
        <v>0.22156672999999996</v>
      </c>
      <c r="F377" s="78">
        <v>0.77769999999999995</v>
      </c>
      <c r="G377" s="69">
        <f t="shared" ref="G377:G383" si="1">+$F$372*F377</f>
        <v>23480473.366575345</v>
      </c>
      <c r="H377" s="79">
        <f t="shared" ref="H377:H383" si="2">G377*98%</f>
        <v>23010863.899243839</v>
      </c>
      <c r="J377" s="51"/>
      <c r="M377" s="155"/>
    </row>
    <row r="378" spans="1:17" ht="14.25" x14ac:dyDescent="0.2">
      <c r="A378" s="67" t="s">
        <v>68</v>
      </c>
      <c r="B378" s="67"/>
      <c r="C378" s="67" t="s">
        <v>1433</v>
      </c>
      <c r="D378" s="67"/>
      <c r="E378" s="147">
        <f>$J$364*F378</f>
        <v>1.7094E-3</v>
      </c>
      <c r="F378" s="78">
        <v>6.0000000000000001E-3</v>
      </c>
      <c r="G378" s="72">
        <f t="shared" si="1"/>
        <v>181153.19557599598</v>
      </c>
      <c r="H378" s="70">
        <f t="shared" si="2"/>
        <v>177530.13166447607</v>
      </c>
      <c r="I378" s="53"/>
    </row>
    <row r="379" spans="1:17" ht="14.25" x14ac:dyDescent="0.2">
      <c r="A379" s="67" t="s">
        <v>67</v>
      </c>
      <c r="B379" s="67"/>
      <c r="C379" s="67"/>
      <c r="D379" s="67"/>
      <c r="E379" s="147">
        <f t="shared" ref="E379:E383" si="3">$J$364*F379</f>
        <v>4.4444399999999995E-2</v>
      </c>
      <c r="F379" s="78">
        <v>0.156</v>
      </c>
      <c r="G379" s="72">
        <f t="shared" si="1"/>
        <v>4709983.0849758955</v>
      </c>
      <c r="H379" s="70">
        <f t="shared" si="2"/>
        <v>4615783.4232763778</v>
      </c>
      <c r="I379" s="217"/>
      <c r="M379" s="156"/>
    </row>
    <row r="380" spans="1:17" ht="14.25" x14ac:dyDescent="0.2">
      <c r="A380" s="67" t="s">
        <v>1811</v>
      </c>
      <c r="B380" s="67"/>
      <c r="C380" s="67"/>
      <c r="D380" s="67"/>
      <c r="E380" s="147">
        <f t="shared" si="3"/>
        <v>1.0826199999999998E-3</v>
      </c>
      <c r="F380" s="78">
        <v>3.8E-3</v>
      </c>
      <c r="G380" s="72">
        <f t="shared" si="1"/>
        <v>114730.35719813079</v>
      </c>
      <c r="H380" s="70">
        <f t="shared" ref="H380" si="4">G380*98%</f>
        <v>112435.75005416817</v>
      </c>
    </row>
    <row r="381" spans="1:17" ht="14.25" x14ac:dyDescent="0.2">
      <c r="A381" s="67" t="s">
        <v>71</v>
      </c>
      <c r="B381" s="67"/>
      <c r="C381" s="67"/>
      <c r="D381" s="67"/>
      <c r="E381" s="147">
        <f t="shared" si="3"/>
        <v>1.1680899999999999E-2</v>
      </c>
      <c r="F381" s="78">
        <v>4.1000000000000002E-2</v>
      </c>
      <c r="G381" s="72">
        <f t="shared" si="1"/>
        <v>1237880.169769306</v>
      </c>
      <c r="H381" s="70">
        <f t="shared" si="2"/>
        <v>1213122.5663739198</v>
      </c>
      <c r="J381" s="33"/>
    </row>
    <row r="382" spans="1:17" ht="14.25" x14ac:dyDescent="0.2">
      <c r="A382" s="67" t="s">
        <v>78</v>
      </c>
      <c r="B382" s="67"/>
      <c r="C382" s="67"/>
      <c r="D382" s="67"/>
      <c r="E382" s="147">
        <f>$J$364*F382</f>
        <v>0</v>
      </c>
      <c r="F382" s="78">
        <v>0</v>
      </c>
      <c r="G382" s="72">
        <f t="shared" si="1"/>
        <v>0</v>
      </c>
      <c r="H382" s="70">
        <f t="shared" si="2"/>
        <v>0</v>
      </c>
      <c r="J382" s="51"/>
    </row>
    <row r="383" spans="1:17" ht="14.25" x14ac:dyDescent="0.2">
      <c r="A383" s="67" t="s">
        <v>927</v>
      </c>
      <c r="B383" s="67"/>
      <c r="C383" s="67"/>
      <c r="D383" s="67"/>
      <c r="E383" s="148">
        <f t="shared" si="3"/>
        <v>4.4159500000000001E-3</v>
      </c>
      <c r="F383" s="118">
        <v>1.55E-2</v>
      </c>
      <c r="G383" s="71">
        <f t="shared" si="1"/>
        <v>467979.08857132297</v>
      </c>
      <c r="H383" s="80">
        <f t="shared" si="2"/>
        <v>458619.50679989648</v>
      </c>
      <c r="I383" s="123"/>
      <c r="J383" s="33"/>
    </row>
    <row r="384" spans="1:17" ht="15" x14ac:dyDescent="0.25">
      <c r="A384" s="67"/>
      <c r="B384" s="67"/>
      <c r="D384" s="81" t="s">
        <v>1118</v>
      </c>
      <c r="E384" s="147">
        <f>SUM(E377:E383)</f>
        <v>0.28489999999999993</v>
      </c>
      <c r="F384" s="78">
        <f>SUM(F377:F383)</f>
        <v>1</v>
      </c>
      <c r="G384" s="69">
        <f>SUM(G377:G383)</f>
        <v>30192199.262665994</v>
      </c>
      <c r="H384" s="79">
        <f>SUM(H377:H383)</f>
        <v>29588355.277412679</v>
      </c>
      <c r="J384" s="25"/>
    </row>
    <row r="385" spans="1:15" ht="14.25" x14ac:dyDescent="0.2">
      <c r="A385" s="67"/>
      <c r="B385" s="67"/>
      <c r="C385" s="67"/>
      <c r="D385" s="67"/>
      <c r="E385" s="160"/>
      <c r="F385" s="67"/>
      <c r="G385" s="69"/>
      <c r="H385" s="105"/>
    </row>
    <row r="386" spans="1:15" ht="15" x14ac:dyDescent="0.25">
      <c r="A386" s="67"/>
      <c r="B386" s="67"/>
      <c r="C386" s="67"/>
      <c r="D386" s="67"/>
      <c r="E386" s="161"/>
      <c r="F386" s="67"/>
      <c r="G386" s="69"/>
      <c r="H386" s="68"/>
      <c r="I386" s="4" t="s">
        <v>1750</v>
      </c>
      <c r="J386" s="76" t="s">
        <v>1115</v>
      </c>
      <c r="K386" s="102">
        <v>745000</v>
      </c>
      <c r="L386" s="39" t="s">
        <v>2638</v>
      </c>
    </row>
    <row r="387" spans="1:15" ht="14.25" x14ac:dyDescent="0.2">
      <c r="A387" s="67" t="s">
        <v>1119</v>
      </c>
      <c r="B387" s="67"/>
      <c r="C387" s="67"/>
      <c r="D387" s="67"/>
      <c r="E387" s="67"/>
      <c r="F387" s="67"/>
      <c r="G387" s="162"/>
      <c r="H387" s="68"/>
      <c r="I387" s="67" t="str">
        <f t="shared" ref="I387:I393" si="5">+A377</f>
        <v xml:space="preserve">GENERAL FUND </v>
      </c>
      <c r="J387" s="78">
        <f t="shared" ref="J387:J393" si="6">+F377</f>
        <v>0.77769999999999995</v>
      </c>
      <c r="K387" s="102">
        <f t="shared" ref="K387:K393" si="7">+J387*$K$386</f>
        <v>579386.5</v>
      </c>
      <c r="O387" s="100"/>
    </row>
    <row r="388" spans="1:15" ht="14.25" x14ac:dyDescent="0.2">
      <c r="A388" s="67"/>
      <c r="B388" s="67"/>
      <c r="C388" s="67"/>
      <c r="D388" s="67"/>
      <c r="E388" s="67"/>
      <c r="F388" s="67"/>
      <c r="G388" s="67"/>
      <c r="H388" s="68"/>
      <c r="I388" s="67" t="str">
        <f t="shared" si="5"/>
        <v>JURY FUND</v>
      </c>
      <c r="J388" s="78">
        <f t="shared" si="6"/>
        <v>6.0000000000000001E-3</v>
      </c>
      <c r="K388" s="102">
        <f t="shared" si="7"/>
        <v>4470</v>
      </c>
      <c r="O388" s="100"/>
    </row>
    <row r="389" spans="1:15" ht="14.25" x14ac:dyDescent="0.2">
      <c r="E389" s="106"/>
      <c r="I389" s="67" t="str">
        <f t="shared" si="5"/>
        <v>ROAD &amp; BRIDGE FUND</v>
      </c>
      <c r="J389" s="78">
        <f t="shared" si="6"/>
        <v>0.156</v>
      </c>
      <c r="K389" s="102">
        <f t="shared" si="7"/>
        <v>116220</v>
      </c>
      <c r="O389" s="100"/>
    </row>
    <row r="390" spans="1:15" ht="14.25" x14ac:dyDescent="0.2">
      <c r="E390" s="106"/>
      <c r="I390" s="67" t="str">
        <f t="shared" si="5"/>
        <v>AIRPORT FUND</v>
      </c>
      <c r="J390" s="78">
        <f t="shared" si="6"/>
        <v>3.8E-3</v>
      </c>
      <c r="K390" s="102">
        <f t="shared" si="7"/>
        <v>2831</v>
      </c>
      <c r="O390" s="100"/>
    </row>
    <row r="391" spans="1:15" ht="14.25" x14ac:dyDescent="0.2">
      <c r="E391" s="106"/>
      <c r="I391" s="67" t="str">
        <f t="shared" si="5"/>
        <v>JUVENILE SERVICES FUND</v>
      </c>
      <c r="J391" s="78">
        <f t="shared" si="6"/>
        <v>4.1000000000000002E-2</v>
      </c>
      <c r="K391" s="102">
        <f t="shared" si="7"/>
        <v>30545</v>
      </c>
      <c r="O391" s="100"/>
    </row>
    <row r="392" spans="1:15" ht="14.25" x14ac:dyDescent="0.2">
      <c r="E392" s="106"/>
      <c r="I392" s="67" t="str">
        <f t="shared" si="5"/>
        <v>INTEREST &amp; SINKING FUND</v>
      </c>
      <c r="J392" s="78">
        <f t="shared" si="6"/>
        <v>0</v>
      </c>
      <c r="K392" s="102">
        <f t="shared" si="7"/>
        <v>0</v>
      </c>
      <c r="O392" s="100"/>
    </row>
    <row r="393" spans="1:15" ht="14.25" x14ac:dyDescent="0.2">
      <c r="E393" s="106"/>
      <c r="I393" s="67" t="str">
        <f t="shared" si="5"/>
        <v>PERMANENT IMPROVEMENT FUND</v>
      </c>
      <c r="J393" s="78">
        <f t="shared" si="6"/>
        <v>1.55E-2</v>
      </c>
      <c r="K393" s="102">
        <f t="shared" si="7"/>
        <v>11547.5</v>
      </c>
      <c r="O393" s="100"/>
    </row>
    <row r="394" spans="1:15" ht="14.25" x14ac:dyDescent="0.2">
      <c r="E394" s="106"/>
      <c r="J394" s="82">
        <f>SUM(J387:J393)</f>
        <v>1</v>
      </c>
      <c r="K394" s="104">
        <f>SUM(K387:K393)</f>
        <v>745000</v>
      </c>
      <c r="O394" s="100"/>
    </row>
    <row r="395" spans="1:15" x14ac:dyDescent="0.2">
      <c r="E395" s="106"/>
      <c r="K395" s="102"/>
      <c r="O395" s="29"/>
    </row>
    <row r="396" spans="1:15" x14ac:dyDescent="0.2">
      <c r="E396" s="106"/>
      <c r="K396" s="102"/>
      <c r="O396" s="100"/>
    </row>
    <row r="397" spans="1:15" x14ac:dyDescent="0.2">
      <c r="O397" s="29"/>
    </row>
    <row r="398" spans="1:15" x14ac:dyDescent="0.2">
      <c r="O398" s="107"/>
    </row>
    <row r="409" spans="1:5" x14ac:dyDescent="0.2">
      <c r="E409" s="13"/>
    </row>
    <row r="410" spans="1:5" ht="13.5" customHeight="1" x14ac:dyDescent="0.2">
      <c r="E410" s="3" t="s">
        <v>1433</v>
      </c>
    </row>
    <row r="411" spans="1:5" ht="13.5" customHeight="1" x14ac:dyDescent="0.2"/>
    <row r="412" spans="1:5" ht="13.5" customHeight="1" x14ac:dyDescent="0.2">
      <c r="E412" s="3"/>
    </row>
    <row r="413" spans="1:5" ht="13.5" customHeight="1" x14ac:dyDescent="0.2">
      <c r="E413" s="63" t="s">
        <v>612</v>
      </c>
    </row>
    <row r="414" spans="1:5" x14ac:dyDescent="0.2">
      <c r="E414" s="3" t="s">
        <v>1433</v>
      </c>
    </row>
    <row r="415" spans="1:5" x14ac:dyDescent="0.2">
      <c r="A415" s="4" t="s">
        <v>653</v>
      </c>
    </row>
    <row r="416" spans="1:5" x14ac:dyDescent="0.2">
      <c r="A416" s="4" t="s">
        <v>2581</v>
      </c>
    </row>
    <row r="417" spans="1:8" x14ac:dyDescent="0.2">
      <c r="G417" s="1" t="s">
        <v>1433</v>
      </c>
    </row>
    <row r="418" spans="1:8" x14ac:dyDescent="0.2">
      <c r="F418" s="7" t="s">
        <v>1120</v>
      </c>
      <c r="G418" s="7" t="s">
        <v>1121</v>
      </c>
      <c r="H418" s="49" t="s">
        <v>1118</v>
      </c>
    </row>
    <row r="419" spans="1:8" x14ac:dyDescent="0.2">
      <c r="A419" t="s">
        <v>112</v>
      </c>
      <c r="F419" s="24">
        <f>8359483.65-10040896.7</f>
        <v>-1681413.0499999989</v>
      </c>
      <c r="G419" s="24">
        <f>21021107.8+2674544.38</f>
        <v>23695652.18</v>
      </c>
      <c r="H419" s="24">
        <f>SUM(F419:G419)</f>
        <v>22014239.130000003</v>
      </c>
    </row>
    <row r="420" spans="1:8" x14ac:dyDescent="0.2">
      <c r="A420" t="s">
        <v>68</v>
      </c>
      <c r="F420" s="24">
        <v>-68227.19</v>
      </c>
      <c r="G420" s="18">
        <v>307795.83</v>
      </c>
      <c r="H420" s="24">
        <f>SUM(F420:G420)</f>
        <v>239568.64000000001</v>
      </c>
    </row>
    <row r="421" spans="1:8" x14ac:dyDescent="0.2">
      <c r="A421" t="s">
        <v>1630</v>
      </c>
      <c r="F421" s="24">
        <v>25880.55</v>
      </c>
      <c r="G421" s="18">
        <v>0</v>
      </c>
      <c r="H421" s="24">
        <f t="shared" ref="H421:H468" si="8">SUM(F421:G421)</f>
        <v>25880.55</v>
      </c>
    </row>
    <row r="422" spans="1:8" x14ac:dyDescent="0.2">
      <c r="A422" t="s">
        <v>1631</v>
      </c>
      <c r="F422" s="24">
        <v>-13883.05</v>
      </c>
      <c r="G422" s="18">
        <v>41189.360000000001</v>
      </c>
      <c r="H422" s="24">
        <f t="shared" si="8"/>
        <v>27306.31</v>
      </c>
    </row>
    <row r="423" spans="1:8" x14ac:dyDescent="0.2">
      <c r="A423" t="s">
        <v>67</v>
      </c>
      <c r="F423" s="24">
        <v>-31395.33</v>
      </c>
      <c r="G423" s="18">
        <v>3764880.55</v>
      </c>
      <c r="H423" s="24">
        <f t="shared" si="8"/>
        <v>3733485.2199999997</v>
      </c>
    </row>
    <row r="424" spans="1:8" x14ac:dyDescent="0.2">
      <c r="A424" t="s">
        <v>1248</v>
      </c>
      <c r="F424" s="24">
        <v>635538.98</v>
      </c>
      <c r="G424" s="18">
        <v>0</v>
      </c>
      <c r="H424" s="24">
        <f t="shared" si="8"/>
        <v>635538.98</v>
      </c>
    </row>
    <row r="425" spans="1:8" x14ac:dyDescent="0.2">
      <c r="A425" t="s">
        <v>1632</v>
      </c>
      <c r="F425" s="24">
        <v>205683.12</v>
      </c>
      <c r="G425" s="18">
        <v>0</v>
      </c>
      <c r="H425" s="24">
        <f t="shared" si="8"/>
        <v>205683.12</v>
      </c>
    </row>
    <row r="426" spans="1:8" x14ac:dyDescent="0.2">
      <c r="A426" t="s">
        <v>1647</v>
      </c>
      <c r="F426" s="24">
        <v>15940.97</v>
      </c>
      <c r="G426" s="18"/>
      <c r="H426" s="24">
        <f t="shared" si="8"/>
        <v>15940.97</v>
      </c>
    </row>
    <row r="427" spans="1:8" x14ac:dyDescent="0.2">
      <c r="A427" t="s">
        <v>1633</v>
      </c>
      <c r="F427" s="24">
        <v>5333.18</v>
      </c>
      <c r="G427" s="18">
        <v>420.42</v>
      </c>
      <c r="H427" s="24">
        <f t="shared" si="8"/>
        <v>5753.6</v>
      </c>
    </row>
    <row r="428" spans="1:8" x14ac:dyDescent="0.2">
      <c r="A428" t="s">
        <v>1247</v>
      </c>
      <c r="F428" s="24">
        <v>32110.98</v>
      </c>
      <c r="G428" s="18">
        <v>0</v>
      </c>
      <c r="H428" s="24">
        <f t="shared" si="8"/>
        <v>32110.98</v>
      </c>
    </row>
    <row r="429" spans="1:8" x14ac:dyDescent="0.2">
      <c r="A429" t="s">
        <v>1249</v>
      </c>
      <c r="F429" s="24">
        <v>15673.84</v>
      </c>
      <c r="G429" s="18">
        <v>0</v>
      </c>
      <c r="H429" s="24">
        <f t="shared" si="8"/>
        <v>15673.84</v>
      </c>
    </row>
    <row r="430" spans="1:8" x14ac:dyDescent="0.2">
      <c r="A430" t="s">
        <v>1634</v>
      </c>
      <c r="F430" s="24">
        <v>249707.01</v>
      </c>
      <c r="G430" s="18">
        <v>53907.97</v>
      </c>
      <c r="H430" s="24">
        <f t="shared" si="8"/>
        <v>303614.98</v>
      </c>
    </row>
    <row r="431" spans="1:8" x14ac:dyDescent="0.2">
      <c r="A431" t="s">
        <v>69</v>
      </c>
      <c r="F431" s="24">
        <v>109703.62</v>
      </c>
      <c r="G431" s="18">
        <v>55073.440000000002</v>
      </c>
      <c r="H431" s="24">
        <f>SUM(F431:G431)</f>
        <v>164777.06</v>
      </c>
    </row>
    <row r="432" spans="1:8" x14ac:dyDescent="0.2">
      <c r="A432" t="s">
        <v>1714</v>
      </c>
      <c r="F432" s="24">
        <v>58125.41</v>
      </c>
      <c r="G432" s="18">
        <v>0</v>
      </c>
      <c r="H432" s="24">
        <f t="shared" si="8"/>
        <v>58125.41</v>
      </c>
    </row>
    <row r="433" spans="1:8" x14ac:dyDescent="0.2">
      <c r="A433" t="s">
        <v>1722</v>
      </c>
      <c r="F433" s="24">
        <v>49840.98</v>
      </c>
      <c r="G433" s="18">
        <v>0</v>
      </c>
      <c r="H433" s="24">
        <f t="shared" si="8"/>
        <v>49840.98</v>
      </c>
    </row>
    <row r="434" spans="1:8" x14ac:dyDescent="0.2">
      <c r="A434" t="s">
        <v>1635</v>
      </c>
      <c r="F434" s="24">
        <v>108285.71</v>
      </c>
      <c r="G434" s="18">
        <v>45522.879999999997</v>
      </c>
      <c r="H434" s="24">
        <f t="shared" si="8"/>
        <v>153808.59</v>
      </c>
    </row>
    <row r="435" spans="1:8" x14ac:dyDescent="0.2">
      <c r="A435" t="s">
        <v>1686</v>
      </c>
      <c r="F435" s="24">
        <v>60798.43</v>
      </c>
      <c r="G435" s="18">
        <v>0</v>
      </c>
      <c r="H435" s="24">
        <f t="shared" si="8"/>
        <v>60798.43</v>
      </c>
    </row>
    <row r="436" spans="1:8" x14ac:dyDescent="0.2">
      <c r="A436" t="s">
        <v>1687</v>
      </c>
      <c r="F436" s="24">
        <v>9328.48</v>
      </c>
      <c r="G436" s="18">
        <v>0</v>
      </c>
      <c r="H436" s="24">
        <f t="shared" si="8"/>
        <v>9328.48</v>
      </c>
    </row>
    <row r="437" spans="1:8" x14ac:dyDescent="0.2">
      <c r="A437" t="s">
        <v>1250</v>
      </c>
      <c r="F437" s="24">
        <v>44082.82</v>
      </c>
      <c r="G437" s="18">
        <v>0</v>
      </c>
      <c r="H437" s="24">
        <f t="shared" si="8"/>
        <v>44082.82</v>
      </c>
    </row>
    <row r="438" spans="1:8" x14ac:dyDescent="0.2">
      <c r="A438" t="s">
        <v>70</v>
      </c>
      <c r="F438" s="24">
        <v>4591.66</v>
      </c>
      <c r="G438" s="18">
        <v>48347.199999999997</v>
      </c>
      <c r="H438" s="24">
        <f t="shared" si="8"/>
        <v>52938.86</v>
      </c>
    </row>
    <row r="439" spans="1:8" x14ac:dyDescent="0.2">
      <c r="A439" t="s">
        <v>71</v>
      </c>
      <c r="F439" s="24">
        <v>-133234.07999999999</v>
      </c>
      <c r="G439" s="18">
        <v>1045601.67</v>
      </c>
      <c r="H439" s="24">
        <f t="shared" si="8"/>
        <v>912367.59000000008</v>
      </c>
    </row>
    <row r="440" spans="1:8" x14ac:dyDescent="0.2">
      <c r="A440" t="s">
        <v>72</v>
      </c>
      <c r="F440" s="24">
        <v>17590.36</v>
      </c>
      <c r="G440" s="18">
        <v>0</v>
      </c>
      <c r="H440" s="24">
        <f t="shared" si="8"/>
        <v>17590.36</v>
      </c>
    </row>
    <row r="441" spans="1:8" hidden="1" x14ac:dyDescent="0.2">
      <c r="A441" t="s">
        <v>1636</v>
      </c>
      <c r="F441" s="24">
        <v>0</v>
      </c>
      <c r="G441" s="18">
        <v>0</v>
      </c>
      <c r="H441" s="24">
        <f t="shared" si="8"/>
        <v>0</v>
      </c>
    </row>
    <row r="442" spans="1:8" hidden="1" x14ac:dyDescent="0.2">
      <c r="A442" t="s">
        <v>1637</v>
      </c>
      <c r="F442" s="24">
        <v>0</v>
      </c>
      <c r="G442" s="18">
        <v>0</v>
      </c>
      <c r="H442" s="24">
        <f>SUM(F442:G442)</f>
        <v>0</v>
      </c>
    </row>
    <row r="443" spans="1:8" x14ac:dyDescent="0.2">
      <c r="A443" t="s">
        <v>74</v>
      </c>
      <c r="F443" s="24">
        <v>-69170.92</v>
      </c>
      <c r="G443" s="18">
        <v>11182.51</v>
      </c>
      <c r="H443" s="24">
        <f t="shared" si="8"/>
        <v>-57988.409999999996</v>
      </c>
    </row>
    <row r="444" spans="1:8" x14ac:dyDescent="0.2">
      <c r="A444" s="39" t="s">
        <v>2384</v>
      </c>
      <c r="F444" s="24">
        <v>6852698.54</v>
      </c>
      <c r="G444" s="18">
        <v>0</v>
      </c>
      <c r="H444" s="24">
        <f t="shared" si="8"/>
        <v>6852698.54</v>
      </c>
    </row>
    <row r="445" spans="1:8" x14ac:dyDescent="0.2">
      <c r="A445" t="s">
        <v>1638</v>
      </c>
      <c r="F445" s="24">
        <v>157444.93</v>
      </c>
      <c r="G445" s="18">
        <v>5750.59</v>
      </c>
      <c r="H445" s="24">
        <f t="shared" si="8"/>
        <v>163195.51999999999</v>
      </c>
    </row>
    <row r="446" spans="1:8" x14ac:dyDescent="0.2">
      <c r="A446" t="s">
        <v>1639</v>
      </c>
      <c r="F446" s="24">
        <v>68429.27</v>
      </c>
      <c r="G446" s="18">
        <v>93653.81</v>
      </c>
      <c r="H446" s="24">
        <f t="shared" si="8"/>
        <v>162083.08000000002</v>
      </c>
    </row>
    <row r="447" spans="1:8" x14ac:dyDescent="0.2">
      <c r="A447" t="s">
        <v>1251</v>
      </c>
      <c r="F447" s="24">
        <v>492439.66</v>
      </c>
      <c r="G447" s="18">
        <v>74995.95</v>
      </c>
      <c r="H447" s="24">
        <f t="shared" si="8"/>
        <v>567435.61</v>
      </c>
    </row>
    <row r="448" spans="1:8" x14ac:dyDescent="0.2">
      <c r="A448" t="s">
        <v>1252</v>
      </c>
      <c r="F448" s="24">
        <v>26423.96</v>
      </c>
      <c r="G448" s="18">
        <v>0</v>
      </c>
      <c r="H448" s="24">
        <f t="shared" si="8"/>
        <v>26423.96</v>
      </c>
    </row>
    <row r="449" spans="1:9" x14ac:dyDescent="0.2">
      <c r="A449" t="s">
        <v>1640</v>
      </c>
      <c r="F449" s="24">
        <v>-33602.86</v>
      </c>
      <c r="G449" s="18">
        <v>48239.92</v>
      </c>
      <c r="H449" s="24">
        <f t="shared" si="8"/>
        <v>14637.059999999998</v>
      </c>
    </row>
    <row r="450" spans="1:9" x14ac:dyDescent="0.2">
      <c r="A450" t="s">
        <v>498</v>
      </c>
      <c r="F450" s="24">
        <v>120636.31</v>
      </c>
      <c r="G450" s="18">
        <v>0</v>
      </c>
      <c r="H450" s="24">
        <f t="shared" si="8"/>
        <v>120636.31</v>
      </c>
    </row>
    <row r="451" spans="1:9" x14ac:dyDescent="0.2">
      <c r="A451" t="s">
        <v>499</v>
      </c>
      <c r="F451" s="24">
        <v>56982.91</v>
      </c>
      <c r="G451" s="18">
        <v>0</v>
      </c>
      <c r="H451" s="24">
        <f t="shared" si="8"/>
        <v>56982.91</v>
      </c>
    </row>
    <row r="452" spans="1:9" x14ac:dyDescent="0.2">
      <c r="A452" t="s">
        <v>75</v>
      </c>
      <c r="F452" s="24">
        <v>76531.39</v>
      </c>
      <c r="G452" s="18">
        <v>0</v>
      </c>
      <c r="H452" s="24">
        <f t="shared" si="8"/>
        <v>76531.39</v>
      </c>
    </row>
    <row r="453" spans="1:9" x14ac:dyDescent="0.2">
      <c r="A453" t="s">
        <v>1641</v>
      </c>
      <c r="F453" s="24">
        <v>41551.449999999997</v>
      </c>
      <c r="G453" s="18">
        <v>0</v>
      </c>
      <c r="H453" s="24">
        <f t="shared" si="8"/>
        <v>41551.449999999997</v>
      </c>
    </row>
    <row r="454" spans="1:9" x14ac:dyDescent="0.2">
      <c r="A454" t="s">
        <v>500</v>
      </c>
      <c r="F454" s="24">
        <v>64775.82</v>
      </c>
      <c r="G454" s="18">
        <v>0</v>
      </c>
      <c r="H454" s="24">
        <f t="shared" si="8"/>
        <v>64775.82</v>
      </c>
    </row>
    <row r="455" spans="1:9" x14ac:dyDescent="0.2">
      <c r="A455" t="s">
        <v>736</v>
      </c>
      <c r="F455" s="24">
        <v>1535.83</v>
      </c>
      <c r="G455" s="18">
        <v>0</v>
      </c>
      <c r="H455" s="24">
        <f t="shared" si="8"/>
        <v>1535.83</v>
      </c>
    </row>
    <row r="456" spans="1:9" x14ac:dyDescent="0.2">
      <c r="A456" t="s">
        <v>78</v>
      </c>
      <c r="F456" s="24">
        <v>-6970.71</v>
      </c>
      <c r="G456" s="18">
        <v>0.01</v>
      </c>
      <c r="H456" s="24">
        <f t="shared" si="8"/>
        <v>-6970.7</v>
      </c>
    </row>
    <row r="457" spans="1:9" hidden="1" x14ac:dyDescent="0.2">
      <c r="A457" t="s">
        <v>1043</v>
      </c>
      <c r="F457" s="24">
        <v>0</v>
      </c>
      <c r="G457" s="18">
        <v>0</v>
      </c>
      <c r="H457" s="24">
        <f t="shared" si="8"/>
        <v>0</v>
      </c>
    </row>
    <row r="458" spans="1:9" x14ac:dyDescent="0.2">
      <c r="A458" t="s">
        <v>927</v>
      </c>
      <c r="F458" s="24">
        <v>722704.29</v>
      </c>
      <c r="G458" s="18">
        <v>602216.89</v>
      </c>
      <c r="H458" s="24">
        <f t="shared" si="8"/>
        <v>1324921.1800000002</v>
      </c>
    </row>
    <row r="459" spans="1:9" hidden="1" x14ac:dyDescent="0.2">
      <c r="A459" t="s">
        <v>928</v>
      </c>
      <c r="F459" s="24">
        <v>0</v>
      </c>
      <c r="G459" s="18">
        <v>0</v>
      </c>
      <c r="H459" s="24">
        <f>SUM(F459:G459)</f>
        <v>0</v>
      </c>
    </row>
    <row r="460" spans="1:9" x14ac:dyDescent="0.2">
      <c r="A460" t="s">
        <v>337</v>
      </c>
      <c r="F460" s="24">
        <v>5568.61</v>
      </c>
      <c r="G460" s="18">
        <v>0</v>
      </c>
      <c r="H460" s="24">
        <f>SUM(F460:G460)</f>
        <v>5568.61</v>
      </c>
    </row>
    <row r="461" spans="1:9" x14ac:dyDescent="0.2">
      <c r="A461" t="s">
        <v>1642</v>
      </c>
      <c r="F461" s="24">
        <v>85165.68</v>
      </c>
      <c r="G461" s="18">
        <v>135645.29999999999</v>
      </c>
      <c r="H461" s="24">
        <f t="shared" si="8"/>
        <v>220810.97999999998</v>
      </c>
    </row>
    <row r="462" spans="1:9" x14ac:dyDescent="0.2">
      <c r="A462" t="s">
        <v>2616</v>
      </c>
      <c r="F462" s="24">
        <v>58369.24</v>
      </c>
      <c r="G462" s="18"/>
      <c r="H462" s="24">
        <f t="shared" si="8"/>
        <v>58369.24</v>
      </c>
    </row>
    <row r="463" spans="1:9" x14ac:dyDescent="0.2">
      <c r="A463" t="s">
        <v>1643</v>
      </c>
      <c r="F463" s="24">
        <v>203528.97</v>
      </c>
      <c r="G463" s="18">
        <v>0</v>
      </c>
      <c r="H463" s="24">
        <f t="shared" si="8"/>
        <v>203528.97</v>
      </c>
    </row>
    <row r="464" spans="1:9" x14ac:dyDescent="0.2">
      <c r="A464" t="s">
        <v>1728</v>
      </c>
      <c r="F464" s="8">
        <v>2154616.25</v>
      </c>
      <c r="G464" s="18">
        <v>0</v>
      </c>
      <c r="H464" s="24">
        <f t="shared" si="8"/>
        <v>2154616.25</v>
      </c>
      <c r="I464" s="4"/>
    </row>
    <row r="465" spans="1:8" x14ac:dyDescent="0.2">
      <c r="A465" t="s">
        <v>1645</v>
      </c>
      <c r="F465" s="24">
        <v>127973.16</v>
      </c>
      <c r="G465" s="18">
        <v>66312.41</v>
      </c>
      <c r="H465" s="24">
        <f t="shared" si="8"/>
        <v>194285.57</v>
      </c>
    </row>
    <row r="466" spans="1:8" x14ac:dyDescent="0.2">
      <c r="A466" t="s">
        <v>1646</v>
      </c>
      <c r="F466" s="24">
        <f>173284.05+16039.27</f>
        <v>189323.31999999998</v>
      </c>
      <c r="G466" s="18">
        <v>0</v>
      </c>
      <c r="H466" s="24">
        <f t="shared" si="8"/>
        <v>189323.31999999998</v>
      </c>
    </row>
    <row r="467" spans="1:8" x14ac:dyDescent="0.2">
      <c r="A467" t="s">
        <v>737</v>
      </c>
      <c r="F467" s="24">
        <v>955061.08</v>
      </c>
      <c r="G467" s="18">
        <v>0</v>
      </c>
      <c r="H467" s="24">
        <f t="shared" si="8"/>
        <v>955061.08</v>
      </c>
    </row>
    <row r="468" spans="1:8" x14ac:dyDescent="0.2">
      <c r="A468" t="s">
        <v>1644</v>
      </c>
      <c r="F468" s="231">
        <v>0</v>
      </c>
      <c r="G468" s="18">
        <v>150000</v>
      </c>
      <c r="H468" s="24">
        <f t="shared" si="8"/>
        <v>150000</v>
      </c>
    </row>
    <row r="469" spans="1:8" ht="13.5" thickBot="1" x14ac:dyDescent="0.25">
      <c r="E469" s="6" t="s">
        <v>1118</v>
      </c>
      <c r="F469" s="14">
        <f>SUM(F419:F468)</f>
        <v>12072079.580000002</v>
      </c>
      <c r="G469" s="14">
        <f>SUM(G419:G468)</f>
        <v>30246388.890000004</v>
      </c>
      <c r="H469" s="27">
        <f>SUM(F469:G469)</f>
        <v>42318468.470000006</v>
      </c>
    </row>
    <row r="470" spans="1:8" ht="13.5" thickTop="1" x14ac:dyDescent="0.2">
      <c r="F470" s="51"/>
      <c r="G470" s="51"/>
      <c r="H470" s="51"/>
    </row>
    <row r="471" spans="1:8" x14ac:dyDescent="0.2">
      <c r="F471" s="10"/>
      <c r="G471" s="115"/>
    </row>
    <row r="472" spans="1:8" x14ac:dyDescent="0.2">
      <c r="F472" s="51"/>
      <c r="G472" s="10"/>
    </row>
    <row r="473" spans="1:8" x14ac:dyDescent="0.2">
      <c r="E473" s="3" t="s">
        <v>109</v>
      </c>
      <c r="F473" s="51"/>
      <c r="G473" s="10"/>
    </row>
    <row r="474" spans="1:8" x14ac:dyDescent="0.2">
      <c r="F474" s="51"/>
      <c r="G474" s="10"/>
    </row>
    <row r="475" spans="1:8" x14ac:dyDescent="0.2">
      <c r="F475" s="10"/>
      <c r="G475" s="10"/>
    </row>
    <row r="476" spans="1:8" x14ac:dyDescent="0.2">
      <c r="F476" s="10"/>
      <c r="G476" s="10"/>
    </row>
    <row r="479" spans="1:8" x14ac:dyDescent="0.2">
      <c r="E479" s="3"/>
    </row>
    <row r="480" spans="1:8" x14ac:dyDescent="0.2">
      <c r="E480" s="3"/>
    </row>
    <row r="481" spans="1:11" x14ac:dyDescent="0.2">
      <c r="E481" s="3"/>
    </row>
    <row r="482" spans="1:11" ht="15" x14ac:dyDescent="0.25">
      <c r="A482" s="66" t="s">
        <v>653</v>
      </c>
      <c r="B482" s="67"/>
      <c r="C482" s="67"/>
      <c r="D482" s="67"/>
      <c r="E482" s="67"/>
      <c r="F482" s="67"/>
      <c r="G482" s="67"/>
      <c r="H482" s="68"/>
    </row>
    <row r="483" spans="1:11" ht="15" x14ac:dyDescent="0.25">
      <c r="A483" s="66" t="s">
        <v>111</v>
      </c>
      <c r="B483" s="67"/>
      <c r="C483" s="67"/>
      <c r="D483" s="67"/>
      <c r="E483" s="67"/>
      <c r="F483" s="67"/>
      <c r="G483" s="67"/>
      <c r="H483" s="68"/>
    </row>
    <row r="484" spans="1:11" ht="45" x14ac:dyDescent="0.25">
      <c r="A484" s="255" t="s">
        <v>837</v>
      </c>
      <c r="B484" s="255"/>
      <c r="C484" s="255"/>
      <c r="D484" s="256"/>
      <c r="E484" s="84"/>
      <c r="F484" s="84" t="s">
        <v>829</v>
      </c>
      <c r="G484" s="84" t="s">
        <v>231</v>
      </c>
      <c r="H484" s="85" t="s">
        <v>2582</v>
      </c>
      <c r="I484" s="43"/>
      <c r="J484" s="43"/>
      <c r="K484" s="43"/>
    </row>
    <row r="485" spans="1:11" ht="14.25" x14ac:dyDescent="0.2">
      <c r="A485" s="88" t="s">
        <v>229</v>
      </c>
      <c r="B485" s="88"/>
      <c r="C485" s="88"/>
      <c r="D485" s="88" t="s">
        <v>1773</v>
      </c>
      <c r="E485" s="89"/>
      <c r="F485" s="86">
        <v>47021</v>
      </c>
      <c r="G485" s="87">
        <v>1050000</v>
      </c>
      <c r="H485" s="79">
        <v>0</v>
      </c>
      <c r="I485" s="44" t="s">
        <v>2583</v>
      </c>
      <c r="J485" s="33"/>
      <c r="K485" s="33"/>
    </row>
    <row r="486" spans="1:11" ht="14.25" hidden="1" x14ac:dyDescent="0.2">
      <c r="A486" s="88" t="s">
        <v>2373</v>
      </c>
      <c r="B486" s="88"/>
      <c r="C486" s="88"/>
      <c r="D486" s="88"/>
      <c r="E486" s="89"/>
      <c r="F486" s="90"/>
      <c r="G486" s="98"/>
      <c r="H486" s="70"/>
      <c r="I486" s="44" t="s">
        <v>2383</v>
      </c>
      <c r="J486" s="33"/>
      <c r="K486" s="33"/>
    </row>
    <row r="487" spans="1:11" ht="14.25" hidden="1" x14ac:dyDescent="0.2">
      <c r="A487" s="88" t="s">
        <v>2372</v>
      </c>
      <c r="B487" s="88"/>
      <c r="C487" s="88"/>
      <c r="D487" s="88"/>
      <c r="E487" s="89"/>
      <c r="F487" s="90"/>
      <c r="G487" s="98"/>
      <c r="H487" s="70"/>
      <c r="I487" s="44" t="s">
        <v>2383</v>
      </c>
      <c r="J487" s="33"/>
      <c r="K487" s="33"/>
    </row>
    <row r="488" spans="1:11" ht="14.25" hidden="1" x14ac:dyDescent="0.2">
      <c r="A488" s="88" t="s">
        <v>2375</v>
      </c>
      <c r="B488" s="88"/>
      <c r="C488" s="88"/>
      <c r="D488" s="88"/>
      <c r="E488" s="89"/>
      <c r="F488" s="90"/>
      <c r="G488" s="98"/>
      <c r="H488" s="70"/>
      <c r="I488" s="44" t="s">
        <v>2383</v>
      </c>
      <c r="J488" s="33"/>
      <c r="K488" s="33"/>
    </row>
    <row r="489" spans="1:11" ht="14.25" hidden="1" x14ac:dyDescent="0.2">
      <c r="A489" s="88" t="s">
        <v>2374</v>
      </c>
      <c r="B489" s="88"/>
      <c r="C489" s="88"/>
      <c r="D489" s="88"/>
      <c r="E489" s="89"/>
      <c r="F489" s="90"/>
      <c r="G489" s="98"/>
      <c r="H489" s="70"/>
      <c r="I489" s="44" t="s">
        <v>2383</v>
      </c>
      <c r="J489" s="33"/>
      <c r="K489" s="33"/>
    </row>
    <row r="490" spans="1:11" ht="14.25" hidden="1" x14ac:dyDescent="0.2">
      <c r="A490" s="88" t="s">
        <v>2376</v>
      </c>
      <c r="B490" s="88"/>
      <c r="C490" s="88"/>
      <c r="D490" s="88"/>
      <c r="E490" s="89"/>
      <c r="F490" s="90"/>
      <c r="G490" s="98"/>
      <c r="H490" s="70"/>
      <c r="I490" s="44" t="s">
        <v>2383</v>
      </c>
      <c r="J490" s="33"/>
      <c r="K490" s="33"/>
    </row>
    <row r="491" spans="1:11" ht="15.75" thickBot="1" x14ac:dyDescent="0.3">
      <c r="A491" s="88"/>
      <c r="B491" s="88"/>
      <c r="C491" s="88"/>
      <c r="D491" s="88"/>
      <c r="E491" s="81" t="s">
        <v>1118</v>
      </c>
      <c r="F491" s="109"/>
      <c r="G491" s="109"/>
      <c r="H491" s="91">
        <f>SUM(H485:H490)</f>
        <v>0</v>
      </c>
      <c r="I491" s="33"/>
      <c r="J491" s="33"/>
      <c r="K491" s="33"/>
    </row>
    <row r="492" spans="1:11" ht="15" thickTop="1" x14ac:dyDescent="0.2">
      <c r="A492" s="88"/>
      <c r="B492" s="88"/>
      <c r="C492" s="88"/>
      <c r="D492" s="88"/>
      <c r="E492" s="89"/>
      <c r="F492" s="86"/>
      <c r="G492" s="87"/>
      <c r="H492" s="79"/>
      <c r="I492" s="33"/>
      <c r="J492" s="33"/>
      <c r="K492" s="33"/>
    </row>
    <row r="493" spans="1:11" ht="14.25" x14ac:dyDescent="0.2">
      <c r="A493" s="88"/>
      <c r="B493" s="88"/>
      <c r="C493" s="88"/>
      <c r="D493" s="88"/>
      <c r="E493" s="89"/>
      <c r="F493" s="86"/>
      <c r="G493" s="87"/>
      <c r="H493" s="79"/>
      <c r="I493" s="33"/>
      <c r="J493" s="33"/>
      <c r="K493" s="33"/>
    </row>
    <row r="494" spans="1:11" ht="14.25" x14ac:dyDescent="0.2">
      <c r="A494" s="88"/>
      <c r="B494" s="88"/>
      <c r="C494" s="88"/>
      <c r="D494" s="88"/>
      <c r="E494" s="89"/>
      <c r="F494" s="86"/>
      <c r="G494" s="87"/>
      <c r="H494" s="79"/>
      <c r="I494" s="33"/>
      <c r="J494" s="33"/>
      <c r="K494" s="33"/>
    </row>
    <row r="495" spans="1:11" ht="14.25" x14ac:dyDescent="0.2">
      <c r="A495" s="88"/>
      <c r="B495" s="88"/>
      <c r="C495" s="88"/>
      <c r="D495" s="88"/>
      <c r="E495" s="89"/>
      <c r="F495" s="86"/>
      <c r="G495" s="87"/>
      <c r="H495" s="79"/>
      <c r="I495" s="33"/>
      <c r="J495" s="33"/>
      <c r="K495" s="33"/>
    </row>
    <row r="496" spans="1:11" ht="14.25" x14ac:dyDescent="0.2">
      <c r="A496" s="88"/>
      <c r="B496" s="88"/>
      <c r="C496" s="88"/>
      <c r="D496" s="88"/>
      <c r="E496" s="89"/>
      <c r="F496" s="86"/>
      <c r="G496" s="87"/>
      <c r="H496" s="79"/>
      <c r="I496" s="33"/>
      <c r="J496" s="33"/>
      <c r="K496" s="33"/>
    </row>
    <row r="497" spans="1:11" ht="14.25" x14ac:dyDescent="0.2">
      <c r="A497" s="88"/>
      <c r="B497" s="88"/>
      <c r="C497" s="88"/>
      <c r="D497" s="88"/>
      <c r="E497" s="89"/>
      <c r="F497" s="86"/>
      <c r="G497" s="87"/>
      <c r="H497" s="79"/>
      <c r="I497" s="33"/>
      <c r="J497" s="33"/>
      <c r="K497" s="33"/>
    </row>
    <row r="498" spans="1:11" ht="14.25" x14ac:dyDescent="0.2">
      <c r="A498" s="88"/>
      <c r="B498" s="88"/>
      <c r="C498" s="88"/>
      <c r="D498" s="88"/>
      <c r="E498" s="89"/>
      <c r="F498" s="86"/>
      <c r="G498" s="87"/>
      <c r="H498" s="79"/>
      <c r="I498" s="33"/>
      <c r="J498" s="33"/>
      <c r="K498" s="33"/>
    </row>
    <row r="499" spans="1:11" ht="14.25" x14ac:dyDescent="0.2">
      <c r="A499" s="88"/>
      <c r="B499" s="88"/>
      <c r="C499" s="88"/>
      <c r="D499" s="88"/>
      <c r="E499" s="89"/>
      <c r="F499" s="86"/>
      <c r="G499" s="87"/>
      <c r="H499" s="79"/>
      <c r="I499" s="33"/>
      <c r="J499" s="33"/>
      <c r="K499" s="33"/>
    </row>
    <row r="500" spans="1:11" ht="14.25" x14ac:dyDescent="0.2">
      <c r="A500" s="88"/>
      <c r="B500" s="88"/>
      <c r="C500" s="88"/>
      <c r="D500" s="88"/>
      <c r="E500" s="89"/>
      <c r="F500" s="86"/>
      <c r="G500" s="87"/>
      <c r="H500" s="79"/>
      <c r="I500" s="33"/>
      <c r="J500" s="33"/>
      <c r="K500" s="33"/>
    </row>
    <row r="501" spans="1:11" ht="14.25" x14ac:dyDescent="0.2">
      <c r="A501" s="88"/>
      <c r="B501" s="88"/>
      <c r="C501" s="88"/>
      <c r="D501" s="88"/>
      <c r="E501" s="89"/>
      <c r="F501" s="86"/>
      <c r="G501" s="87"/>
      <c r="H501" s="79"/>
      <c r="I501" s="33"/>
      <c r="J501" s="33"/>
      <c r="K501" s="33"/>
    </row>
    <row r="502" spans="1:11" ht="14.25" x14ac:dyDescent="0.2">
      <c r="A502" s="88"/>
      <c r="B502" s="88"/>
      <c r="C502" s="88"/>
      <c r="D502" s="88"/>
      <c r="E502" s="89"/>
      <c r="F502" s="86"/>
      <c r="G502" s="87"/>
      <c r="H502" s="79"/>
      <c r="I502" s="33"/>
      <c r="J502" s="33"/>
      <c r="K502" s="33"/>
    </row>
    <row r="503" spans="1:11" ht="14.25" x14ac:dyDescent="0.2">
      <c r="A503" s="88"/>
      <c r="B503" s="88"/>
      <c r="C503" s="88"/>
      <c r="D503" s="88"/>
      <c r="E503" s="89"/>
      <c r="F503" s="86"/>
      <c r="G503" s="87"/>
      <c r="H503" s="79"/>
      <c r="I503" s="33"/>
      <c r="J503" s="33"/>
      <c r="K503" s="33"/>
    </row>
    <row r="504" spans="1:11" ht="14.25" x14ac:dyDescent="0.2">
      <c r="A504" s="88"/>
      <c r="B504" s="88"/>
      <c r="C504" s="88"/>
      <c r="D504" s="88"/>
      <c r="E504" s="89"/>
      <c r="F504" s="86"/>
      <c r="G504" s="87"/>
      <c r="H504" s="79"/>
      <c r="I504" s="33"/>
      <c r="J504" s="33"/>
      <c r="K504" s="33"/>
    </row>
    <row r="505" spans="1:11" ht="15" x14ac:dyDescent="0.25">
      <c r="A505" s="66" t="s">
        <v>653</v>
      </c>
      <c r="B505" s="67"/>
      <c r="C505" s="67"/>
      <c r="D505" s="67"/>
      <c r="E505" s="67"/>
      <c r="F505" s="67"/>
      <c r="G505" s="67"/>
      <c r="H505" s="70"/>
      <c r="I505" s="33"/>
      <c r="J505" s="33"/>
      <c r="K505" s="33"/>
    </row>
    <row r="506" spans="1:11" ht="15" x14ac:dyDescent="0.25">
      <c r="A506" s="66" t="s">
        <v>2578</v>
      </c>
      <c r="B506" s="67"/>
      <c r="C506" s="67"/>
      <c r="D506" s="67"/>
      <c r="E506" s="67"/>
      <c r="F506" s="67"/>
      <c r="G506" s="67"/>
      <c r="H506" s="70"/>
      <c r="I506" s="33"/>
      <c r="J506" s="33"/>
      <c r="K506" s="33"/>
    </row>
    <row r="507" spans="1:11" ht="15" x14ac:dyDescent="0.25">
      <c r="A507" s="67"/>
      <c r="B507" s="67"/>
      <c r="C507" s="67"/>
      <c r="D507" s="67"/>
      <c r="E507" s="67"/>
      <c r="F507" s="76" t="s">
        <v>1760</v>
      </c>
      <c r="G507" s="76" t="s">
        <v>1761</v>
      </c>
      <c r="H507" s="92" t="s">
        <v>1118</v>
      </c>
      <c r="I507" s="33"/>
      <c r="J507" s="33"/>
      <c r="K507" s="33"/>
    </row>
    <row r="508" spans="1:11" ht="14.25" x14ac:dyDescent="0.2">
      <c r="A508" s="88" t="s">
        <v>230</v>
      </c>
      <c r="B508" s="88"/>
      <c r="C508" s="88"/>
      <c r="D508" s="88"/>
      <c r="E508" s="89"/>
      <c r="F508" s="70">
        <v>0</v>
      </c>
      <c r="G508" s="70">
        <v>0</v>
      </c>
      <c r="H508" s="70">
        <f t="shared" ref="H508" si="9">SUM(F508:G508)</f>
        <v>0</v>
      </c>
      <c r="I508" s="44" t="s">
        <v>2583</v>
      </c>
      <c r="J508" s="33"/>
      <c r="K508" s="33"/>
    </row>
    <row r="509" spans="1:11" ht="14.25" x14ac:dyDescent="0.2">
      <c r="A509" s="88"/>
      <c r="B509" s="88"/>
      <c r="C509" s="88"/>
      <c r="D509" s="88"/>
      <c r="E509" s="89"/>
      <c r="F509" s="70"/>
      <c r="G509" s="70"/>
      <c r="H509" s="70"/>
      <c r="I509" s="33"/>
      <c r="J509" s="33"/>
      <c r="K509" s="33"/>
    </row>
    <row r="510" spans="1:11" ht="14.25" x14ac:dyDescent="0.2">
      <c r="A510" s="88"/>
      <c r="B510" s="88"/>
      <c r="C510" s="88"/>
      <c r="D510" s="88"/>
      <c r="E510" s="89"/>
      <c r="F510" s="70"/>
      <c r="G510" s="70"/>
      <c r="H510" s="70"/>
      <c r="I510" s="33"/>
      <c r="J510" s="33"/>
      <c r="K510" s="33"/>
    </row>
    <row r="511" spans="1:11" ht="14.25" x14ac:dyDescent="0.2">
      <c r="A511" s="88"/>
      <c r="B511" s="88"/>
      <c r="C511" s="88"/>
      <c r="D511" s="88"/>
      <c r="E511" s="89"/>
      <c r="F511" s="70"/>
      <c r="G511" s="87"/>
      <c r="H511" s="79"/>
      <c r="I511" s="33"/>
      <c r="J511" s="33"/>
      <c r="K511" s="33"/>
    </row>
    <row r="512" spans="1:11" ht="14.25" x14ac:dyDescent="0.2">
      <c r="A512" s="88"/>
      <c r="B512" s="88"/>
      <c r="C512" s="88"/>
      <c r="D512" s="88"/>
      <c r="E512" s="89"/>
      <c r="F512" s="86"/>
      <c r="G512" s="87"/>
      <c r="H512" s="79"/>
      <c r="I512" s="33"/>
      <c r="J512" s="33"/>
      <c r="K512" s="33"/>
    </row>
    <row r="513" spans="1:11" ht="14.25" x14ac:dyDescent="0.2">
      <c r="A513" s="88"/>
      <c r="B513" s="88"/>
      <c r="C513" s="88"/>
      <c r="D513" s="88"/>
      <c r="E513" s="89"/>
      <c r="F513" s="86"/>
      <c r="G513" s="87"/>
      <c r="H513" s="79"/>
      <c r="I513" s="33"/>
      <c r="J513" s="33"/>
      <c r="K513" s="33"/>
    </row>
    <row r="514" spans="1:11" ht="14.25" x14ac:dyDescent="0.2">
      <c r="A514" s="88"/>
      <c r="B514" s="88"/>
      <c r="C514" s="88"/>
      <c r="D514" s="88"/>
      <c r="E514" s="89"/>
      <c r="F514" s="86"/>
      <c r="G514" s="87"/>
      <c r="H514" s="79"/>
      <c r="I514" s="33"/>
      <c r="J514" s="33"/>
      <c r="K514" s="33"/>
    </row>
    <row r="515" spans="1:11" ht="14.25" x14ac:dyDescent="0.2">
      <c r="A515" s="88"/>
      <c r="B515" s="88"/>
      <c r="C515" s="88"/>
      <c r="D515" s="88"/>
      <c r="E515" s="89"/>
      <c r="F515" s="86"/>
      <c r="G515" s="87"/>
      <c r="H515" s="79"/>
      <c r="I515" s="33"/>
      <c r="J515" s="33"/>
      <c r="K515" s="33"/>
    </row>
    <row r="516" spans="1:11" ht="14.25" x14ac:dyDescent="0.2">
      <c r="A516" s="88"/>
      <c r="B516" s="88"/>
      <c r="C516" s="88"/>
      <c r="D516" s="88"/>
      <c r="E516" s="89"/>
      <c r="F516" s="86"/>
      <c r="G516" s="87"/>
      <c r="H516" s="79"/>
      <c r="I516" s="33"/>
      <c r="J516" s="33"/>
      <c r="K516" s="33"/>
    </row>
    <row r="517" spans="1:11" ht="14.25" x14ac:dyDescent="0.2">
      <c r="A517" s="88"/>
      <c r="B517" s="88"/>
      <c r="C517" s="88"/>
      <c r="D517" s="88"/>
      <c r="E517" s="89"/>
      <c r="F517" s="86"/>
      <c r="G517" s="87"/>
      <c r="H517" s="79"/>
      <c r="I517" s="33"/>
      <c r="J517" s="33"/>
      <c r="K517" s="33"/>
    </row>
    <row r="518" spans="1:11" ht="14.25" x14ac:dyDescent="0.2">
      <c r="A518" s="88"/>
      <c r="B518" s="88"/>
      <c r="C518" s="88"/>
      <c r="D518" s="88"/>
      <c r="E518" s="89"/>
      <c r="F518" s="86"/>
      <c r="G518" s="87"/>
      <c r="H518" s="79"/>
      <c r="I518" s="33"/>
      <c r="J518" s="33"/>
      <c r="K518" s="33"/>
    </row>
    <row r="519" spans="1:11" ht="14.25" x14ac:dyDescent="0.2">
      <c r="A519" s="88"/>
      <c r="B519" s="88"/>
      <c r="C519" s="88"/>
      <c r="D519" s="88"/>
      <c r="E519" s="89"/>
      <c r="F519" s="86"/>
      <c r="G519" s="87"/>
      <c r="H519" s="79"/>
      <c r="I519" s="33"/>
      <c r="J519" s="33"/>
      <c r="K519" s="33"/>
    </row>
    <row r="520" spans="1:11" ht="14.25" x14ac:dyDescent="0.2">
      <c r="A520" s="88"/>
      <c r="B520" s="88"/>
      <c r="C520" s="88"/>
      <c r="D520" s="88"/>
      <c r="E520" s="89"/>
      <c r="F520" s="86"/>
      <c r="G520" s="87"/>
      <c r="H520" s="79"/>
      <c r="I520" s="33"/>
      <c r="J520" s="33"/>
      <c r="K520" s="33"/>
    </row>
    <row r="521" spans="1:11" ht="14.25" x14ac:dyDescent="0.2">
      <c r="A521" s="88"/>
      <c r="B521" s="88"/>
      <c r="C521" s="88"/>
      <c r="D521" s="88"/>
      <c r="E521" s="89"/>
      <c r="F521" s="86"/>
      <c r="G521" s="87"/>
      <c r="H521" s="79"/>
      <c r="I521" s="33"/>
      <c r="J521" s="33"/>
      <c r="K521" s="33"/>
    </row>
    <row r="522" spans="1:11" ht="15" customHeight="1" x14ac:dyDescent="0.2">
      <c r="A522" s="88"/>
      <c r="B522" s="88"/>
      <c r="C522" s="88"/>
      <c r="D522" s="88"/>
      <c r="E522" s="111" t="s">
        <v>110</v>
      </c>
      <c r="F522" s="86"/>
      <c r="G522" s="87"/>
      <c r="H522" s="79"/>
      <c r="I522" s="33"/>
      <c r="J522" s="33"/>
      <c r="K522" s="33"/>
    </row>
    <row r="523" spans="1:11" ht="15" customHeight="1" x14ac:dyDescent="0.2">
      <c r="A523" s="88"/>
      <c r="B523" s="88"/>
      <c r="C523" s="88"/>
      <c r="D523" s="88"/>
      <c r="E523" s="111"/>
      <c r="F523" s="86"/>
      <c r="G523" s="87"/>
      <c r="H523" s="79"/>
      <c r="I523" s="33"/>
      <c r="J523" s="33"/>
      <c r="K523" s="33"/>
    </row>
    <row r="524" spans="1:11" ht="15" customHeight="1" x14ac:dyDescent="0.2">
      <c r="A524" s="88"/>
      <c r="B524" s="88"/>
      <c r="C524" s="88"/>
      <c r="D524" s="88"/>
      <c r="E524" s="111"/>
      <c r="F524" s="86"/>
      <c r="G524" s="87"/>
      <c r="H524" s="79"/>
      <c r="I524" s="33"/>
      <c r="J524" s="33"/>
      <c r="K524" s="33"/>
    </row>
    <row r="525" spans="1:11" ht="15" customHeight="1" x14ac:dyDescent="0.2">
      <c r="A525" s="88"/>
      <c r="B525" s="88"/>
      <c r="C525" s="88"/>
      <c r="D525" s="88"/>
      <c r="E525" s="111"/>
      <c r="F525" s="86"/>
      <c r="G525" s="87"/>
      <c r="H525" s="79"/>
      <c r="I525" s="33"/>
      <c r="J525" s="33"/>
      <c r="K525" s="33"/>
    </row>
    <row r="526" spans="1:11" ht="15" x14ac:dyDescent="0.25">
      <c r="A526" s="66" t="s">
        <v>653</v>
      </c>
      <c r="B526" s="88"/>
      <c r="C526" s="88"/>
      <c r="D526" s="88"/>
      <c r="E526" s="89"/>
      <c r="F526" s="86"/>
      <c r="G526" s="87"/>
      <c r="H526" s="79"/>
      <c r="I526" s="33"/>
      <c r="J526" s="33"/>
      <c r="K526" s="33"/>
    </row>
    <row r="527" spans="1:11" ht="15" x14ac:dyDescent="0.25">
      <c r="A527" s="66" t="s">
        <v>1780</v>
      </c>
      <c r="B527" s="88"/>
      <c r="C527" s="88"/>
      <c r="D527" s="88"/>
      <c r="E527" s="89"/>
      <c r="F527" s="86"/>
      <c r="G527" s="87"/>
      <c r="H527" s="79"/>
      <c r="I527" s="33"/>
      <c r="J527" s="33"/>
      <c r="K527" s="33"/>
    </row>
    <row r="528" spans="1:11" ht="14.25" x14ac:dyDescent="0.2">
      <c r="A528" s="88"/>
      <c r="B528" s="88"/>
      <c r="C528" s="88"/>
      <c r="D528" s="88"/>
      <c r="E528" s="89"/>
      <c r="F528" s="86"/>
      <c r="G528" s="87"/>
      <c r="H528" s="79"/>
      <c r="I528" s="33"/>
      <c r="J528" s="33"/>
      <c r="K528" s="33"/>
    </row>
    <row r="529" spans="1:11" ht="45" x14ac:dyDescent="0.25">
      <c r="A529" s="88"/>
      <c r="B529" s="88"/>
      <c r="C529" s="88"/>
      <c r="D529" s="88"/>
      <c r="E529" s="89"/>
      <c r="F529" s="84" t="s">
        <v>829</v>
      </c>
      <c r="G529" s="84" t="s">
        <v>1762</v>
      </c>
      <c r="H529" s="85" t="str">
        <f>+H484</f>
        <v>Outstanding as of 9/30/2023</v>
      </c>
      <c r="I529" s="33"/>
      <c r="J529" s="33"/>
      <c r="K529" s="33"/>
    </row>
    <row r="530" spans="1:11" ht="14.25" x14ac:dyDescent="0.2">
      <c r="A530" s="88" t="s">
        <v>2589</v>
      </c>
      <c r="B530" s="88"/>
      <c r="C530" s="88"/>
      <c r="D530" s="88" t="s">
        <v>2655</v>
      </c>
      <c r="E530" s="89"/>
      <c r="F530" s="90" t="s">
        <v>2655</v>
      </c>
      <c r="G530" s="98">
        <v>488000</v>
      </c>
      <c r="H530" s="70">
        <v>488000</v>
      </c>
      <c r="I530" s="230" t="s">
        <v>2617</v>
      </c>
      <c r="J530" s="33"/>
      <c r="K530" s="33"/>
    </row>
    <row r="531" spans="1:11" ht="14.25" x14ac:dyDescent="0.2">
      <c r="A531" s="88" t="s">
        <v>2592</v>
      </c>
      <c r="B531" s="88"/>
      <c r="C531" s="88"/>
      <c r="D531" s="88" t="s">
        <v>2370</v>
      </c>
      <c r="E531" s="89"/>
      <c r="F531" s="90">
        <v>45425</v>
      </c>
      <c r="G531" s="98">
        <v>1554000</v>
      </c>
      <c r="H531" s="70">
        <v>1181160</v>
      </c>
      <c r="I531" s="44"/>
      <c r="J531" s="33"/>
      <c r="K531" s="33"/>
    </row>
    <row r="532" spans="1:11" ht="14.25" x14ac:dyDescent="0.2">
      <c r="A532" s="88" t="s">
        <v>2589</v>
      </c>
      <c r="B532" s="88"/>
      <c r="C532" s="88"/>
      <c r="D532" s="88" t="s">
        <v>2588</v>
      </c>
      <c r="E532" s="89"/>
      <c r="F532" s="90">
        <v>45451</v>
      </c>
      <c r="G532" s="98">
        <v>492058.27</v>
      </c>
      <c r="H532" s="70">
        <v>492058.27</v>
      </c>
      <c r="I532" s="44"/>
      <c r="J532" s="33"/>
      <c r="K532" s="33"/>
    </row>
    <row r="533" spans="1:11" ht="15.75" thickBot="1" x14ac:dyDescent="0.3">
      <c r="A533" s="67"/>
      <c r="B533" s="67"/>
      <c r="C533" s="67"/>
      <c r="D533" s="67"/>
      <c r="E533" s="81" t="s">
        <v>1118</v>
      </c>
      <c r="F533" s="109"/>
      <c r="G533" s="109"/>
      <c r="H533" s="91">
        <f>SUM(H530:H532)</f>
        <v>2161218.27</v>
      </c>
      <c r="I533" s="25"/>
      <c r="J533" s="25"/>
      <c r="K533" s="25"/>
    </row>
    <row r="534" spans="1:11" ht="15.75" thickTop="1" x14ac:dyDescent="0.25">
      <c r="A534" s="67"/>
      <c r="B534" s="67"/>
      <c r="C534" s="67"/>
      <c r="D534" s="67"/>
      <c r="E534" s="81"/>
      <c r="F534" s="67"/>
      <c r="G534" s="67"/>
      <c r="H534" s="79"/>
      <c r="I534" s="25"/>
      <c r="J534" s="25"/>
      <c r="K534" s="25"/>
    </row>
    <row r="535" spans="1:11" ht="15" x14ac:dyDescent="0.25">
      <c r="A535" s="67"/>
      <c r="B535" s="67"/>
      <c r="C535" s="67"/>
      <c r="D535" s="67"/>
      <c r="E535" s="81"/>
      <c r="F535" s="67"/>
      <c r="G535" s="67"/>
      <c r="H535" s="79"/>
      <c r="I535" s="25"/>
      <c r="J535" s="25"/>
      <c r="K535" s="25"/>
    </row>
    <row r="536" spans="1:11" ht="15" x14ac:dyDescent="0.25">
      <c r="A536" s="67"/>
      <c r="B536" s="67"/>
      <c r="C536" s="67"/>
      <c r="D536" s="67"/>
      <c r="E536" s="81"/>
      <c r="F536" s="67"/>
      <c r="G536" s="67"/>
      <c r="H536" s="79"/>
      <c r="I536" s="25"/>
      <c r="J536" s="25"/>
      <c r="K536" s="25"/>
    </row>
    <row r="537" spans="1:11" ht="15" x14ac:dyDescent="0.25">
      <c r="A537" s="67"/>
      <c r="B537" s="67"/>
      <c r="C537" s="67"/>
      <c r="D537" s="67"/>
      <c r="E537" s="81"/>
      <c r="F537" s="67"/>
      <c r="G537" s="67"/>
      <c r="H537" s="79"/>
      <c r="I537" s="25"/>
      <c r="J537" s="25"/>
      <c r="K537" s="25"/>
    </row>
    <row r="538" spans="1:11" ht="15" x14ac:dyDescent="0.25">
      <c r="A538" s="67"/>
      <c r="B538" s="67"/>
      <c r="C538" s="67"/>
      <c r="D538" s="67"/>
      <c r="E538" s="81"/>
      <c r="F538" s="67"/>
      <c r="G538" s="67"/>
      <c r="H538" s="79"/>
      <c r="I538" s="25"/>
      <c r="J538" s="25"/>
      <c r="K538" s="25"/>
    </row>
    <row r="539" spans="1:11" ht="15" x14ac:dyDescent="0.25">
      <c r="A539" s="67"/>
      <c r="B539" s="67"/>
      <c r="C539" s="67"/>
      <c r="D539" s="67"/>
      <c r="E539" s="81"/>
      <c r="F539" s="67"/>
      <c r="G539" s="67"/>
      <c r="H539" s="79"/>
      <c r="I539" s="25"/>
      <c r="J539" s="25"/>
      <c r="K539" s="25"/>
    </row>
    <row r="540" spans="1:11" ht="15" x14ac:dyDescent="0.25">
      <c r="A540" s="67"/>
      <c r="B540" s="67"/>
      <c r="C540" s="67"/>
      <c r="D540" s="67"/>
      <c r="E540" s="81"/>
      <c r="F540" s="67"/>
      <c r="G540" s="67"/>
      <c r="H540" s="79"/>
      <c r="I540" s="25"/>
      <c r="J540" s="25"/>
      <c r="K540" s="25"/>
    </row>
    <row r="541" spans="1:11" ht="15" x14ac:dyDescent="0.25">
      <c r="A541" s="67"/>
      <c r="B541" s="67"/>
      <c r="C541" s="67"/>
      <c r="D541" s="67"/>
      <c r="E541" s="81"/>
      <c r="F541" s="67"/>
      <c r="G541" s="67"/>
      <c r="H541" s="79"/>
      <c r="I541" s="25"/>
      <c r="J541" s="25"/>
      <c r="K541" s="25"/>
    </row>
    <row r="542" spans="1:11" ht="15" x14ac:dyDescent="0.25">
      <c r="A542" s="67"/>
      <c r="B542" s="67"/>
      <c r="C542" s="67"/>
      <c r="D542" s="67"/>
      <c r="E542" s="81"/>
      <c r="F542" s="67"/>
      <c r="G542" s="67"/>
      <c r="H542" s="79"/>
      <c r="I542" s="25"/>
      <c r="J542" s="25"/>
      <c r="K542" s="25"/>
    </row>
    <row r="543" spans="1:11" ht="15" x14ac:dyDescent="0.25">
      <c r="A543" s="67"/>
      <c r="B543" s="67"/>
      <c r="C543" s="67"/>
      <c r="D543" s="67"/>
      <c r="E543" s="81"/>
      <c r="F543" s="67"/>
      <c r="G543" s="67"/>
      <c r="H543" s="79"/>
      <c r="I543" s="25"/>
      <c r="J543" s="25"/>
      <c r="K543" s="25"/>
    </row>
    <row r="544" spans="1:11" ht="15" x14ac:dyDescent="0.25">
      <c r="A544" s="67"/>
      <c r="B544" s="67"/>
      <c r="C544" s="67"/>
      <c r="D544" s="67"/>
      <c r="E544" s="81"/>
      <c r="F544" s="67"/>
      <c r="G544" s="67"/>
      <c r="H544" s="79"/>
      <c r="I544" s="25"/>
      <c r="J544" s="25"/>
      <c r="K544" s="25"/>
    </row>
    <row r="545" spans="1:12" ht="15" x14ac:dyDescent="0.25">
      <c r="A545" s="67"/>
      <c r="B545" s="67"/>
      <c r="C545" s="67"/>
      <c r="D545" s="67"/>
      <c r="E545" s="81"/>
      <c r="F545" s="67"/>
      <c r="G545" s="67"/>
      <c r="H545" s="79"/>
      <c r="I545" s="25"/>
      <c r="J545" s="25"/>
      <c r="K545" s="25"/>
    </row>
    <row r="546" spans="1:12" ht="15" x14ac:dyDescent="0.25">
      <c r="A546" s="66" t="s">
        <v>653</v>
      </c>
      <c r="B546" s="67"/>
      <c r="C546" s="67"/>
      <c r="D546" s="67"/>
      <c r="E546" s="67"/>
      <c r="F546" s="67"/>
      <c r="G546" s="67"/>
      <c r="H546" s="70"/>
      <c r="I546" s="33"/>
      <c r="J546" s="33"/>
      <c r="K546" s="33"/>
    </row>
    <row r="547" spans="1:12" ht="15" x14ac:dyDescent="0.25">
      <c r="A547" s="66" t="s">
        <v>2579</v>
      </c>
      <c r="B547" s="67"/>
      <c r="C547" s="67"/>
      <c r="D547" s="67"/>
      <c r="E547" s="67"/>
      <c r="F547" s="67"/>
      <c r="G547" s="67"/>
      <c r="H547" s="70"/>
      <c r="I547" s="33"/>
      <c r="J547" s="33"/>
      <c r="K547" s="33"/>
    </row>
    <row r="548" spans="1:12" ht="15" x14ac:dyDescent="0.25">
      <c r="A548" s="67"/>
      <c r="B548" s="67"/>
      <c r="C548" s="67"/>
      <c r="D548" s="67"/>
      <c r="E548" s="67"/>
      <c r="F548" s="76" t="s">
        <v>1757</v>
      </c>
      <c r="G548" s="76" t="s">
        <v>1758</v>
      </c>
      <c r="H548" s="92" t="s">
        <v>1759</v>
      </c>
      <c r="I548" s="33"/>
      <c r="J548" s="33"/>
      <c r="K548" s="33"/>
    </row>
    <row r="549" spans="1:12" s="39" customFormat="1" ht="14.25" x14ac:dyDescent="0.2">
      <c r="A549" s="88" t="s">
        <v>2656</v>
      </c>
      <c r="B549" s="88"/>
      <c r="C549" s="88"/>
      <c r="D549" s="67"/>
      <c r="E549" s="67"/>
      <c r="F549" s="70">
        <v>60000</v>
      </c>
      <c r="G549" s="70">
        <v>21024.89</v>
      </c>
      <c r="H549" s="70">
        <v>81024.89</v>
      </c>
      <c r="I549" s="44" t="s">
        <v>2591</v>
      </c>
      <c r="J549" s="44"/>
      <c r="K549" s="44"/>
      <c r="L549" s="101"/>
    </row>
    <row r="550" spans="1:12" s="39" customFormat="1" ht="14.25" x14ac:dyDescent="0.2">
      <c r="A550" s="88" t="s">
        <v>2371</v>
      </c>
      <c r="B550" s="88"/>
      <c r="C550" s="88"/>
      <c r="D550" s="67"/>
      <c r="E550" s="67"/>
      <c r="F550" s="70">
        <v>1158000</v>
      </c>
      <c r="G550" s="70">
        <v>23160</v>
      </c>
      <c r="H550" s="70">
        <f t="shared" ref="H550" si="10">SUM(F550:G550)</f>
        <v>1181160</v>
      </c>
      <c r="I550" s="44"/>
      <c r="J550" s="44"/>
      <c r="K550" s="44"/>
      <c r="L550" s="101"/>
    </row>
    <row r="551" spans="1:12" s="39" customFormat="1" ht="14.25" x14ac:dyDescent="0.2">
      <c r="A551" s="88" t="s">
        <v>2590</v>
      </c>
      <c r="B551" s="88"/>
      <c r="C551" s="88"/>
      <c r="D551" s="67"/>
      <c r="E551" s="67"/>
      <c r="F551" s="70">
        <v>45058.27</v>
      </c>
      <c r="G551" s="70">
        <v>29575.59</v>
      </c>
      <c r="H551" s="70">
        <f t="shared" ref="H551" si="11">SUM(F551:G551)</f>
        <v>74633.86</v>
      </c>
      <c r="I551" s="44"/>
      <c r="J551" s="44"/>
      <c r="K551" s="44"/>
      <c r="L551" s="101"/>
    </row>
    <row r="552" spans="1:12" ht="15.75" thickBot="1" x14ac:dyDescent="0.3">
      <c r="A552" s="67"/>
      <c r="B552" s="67"/>
      <c r="C552" s="67"/>
      <c r="D552" s="67"/>
      <c r="E552" s="81" t="s">
        <v>1118</v>
      </c>
      <c r="F552" s="110">
        <f>SUM(F549:F551)</f>
        <v>1263058.27</v>
      </c>
      <c r="G552" s="110">
        <f>SUM(G549:G551)</f>
        <v>73760.479999999996</v>
      </c>
      <c r="H552" s="110">
        <f>SUM(H549:H551)</f>
        <v>1336818.75</v>
      </c>
      <c r="I552" s="33"/>
      <c r="J552" s="33"/>
      <c r="K552" s="33"/>
    </row>
    <row r="553" spans="1:12" ht="15" thickTop="1" x14ac:dyDescent="0.2">
      <c r="A553" s="67"/>
      <c r="B553" s="67"/>
      <c r="C553" s="67"/>
      <c r="D553" s="67"/>
      <c r="E553" s="67"/>
      <c r="F553" s="67"/>
      <c r="G553" s="67"/>
      <c r="H553" s="68"/>
    </row>
    <row r="554" spans="1:12" ht="14.25" x14ac:dyDescent="0.2">
      <c r="A554" s="67"/>
      <c r="B554" s="67"/>
      <c r="C554" s="67"/>
      <c r="D554" s="67"/>
      <c r="E554" s="67"/>
      <c r="F554" s="67"/>
      <c r="G554" s="67"/>
      <c r="H554" s="68"/>
    </row>
    <row r="555" spans="1:12" ht="14.25" x14ac:dyDescent="0.2">
      <c r="A555" s="67"/>
      <c r="B555" s="67"/>
      <c r="C555" s="67"/>
      <c r="D555" s="67"/>
      <c r="E555" s="67"/>
      <c r="F555" s="67"/>
      <c r="G555" s="67"/>
      <c r="H555" s="68"/>
    </row>
    <row r="556" spans="1:12" ht="14.25" x14ac:dyDescent="0.2">
      <c r="A556" s="67"/>
      <c r="B556" s="67"/>
      <c r="C556" s="67"/>
      <c r="D556" s="67"/>
      <c r="E556" s="67"/>
      <c r="F556" s="67"/>
      <c r="G556" s="67"/>
      <c r="H556" s="68"/>
    </row>
    <row r="557" spans="1:12" ht="14.25" x14ac:dyDescent="0.2">
      <c r="A557" s="67"/>
      <c r="B557" s="67"/>
      <c r="C557" s="67"/>
      <c r="D557" s="67"/>
      <c r="E557" s="67"/>
      <c r="F557" s="67"/>
      <c r="G557" s="67"/>
      <c r="H557" s="68"/>
    </row>
    <row r="558" spans="1:12" ht="14.25" x14ac:dyDescent="0.2">
      <c r="A558" s="67"/>
      <c r="B558" s="67"/>
      <c r="C558" s="67"/>
      <c r="D558" s="67"/>
      <c r="E558" s="67"/>
      <c r="F558" s="67"/>
      <c r="G558" s="67"/>
      <c r="H558" s="68"/>
    </row>
    <row r="559" spans="1:12" ht="14.25" x14ac:dyDescent="0.2">
      <c r="A559" s="67"/>
      <c r="B559" s="67"/>
      <c r="C559" s="67"/>
      <c r="D559" s="67"/>
      <c r="E559" s="67"/>
      <c r="F559" s="67"/>
      <c r="G559" s="67"/>
      <c r="H559" s="68"/>
    </row>
    <row r="560" spans="1:12" ht="14.25" x14ac:dyDescent="0.2">
      <c r="A560" s="67"/>
      <c r="B560" s="67"/>
      <c r="C560" s="67"/>
      <c r="D560" s="67"/>
      <c r="E560" s="67"/>
      <c r="F560" s="67"/>
      <c r="G560" s="67"/>
      <c r="H560" s="68"/>
    </row>
    <row r="561" spans="1:8" ht="14.25" x14ac:dyDescent="0.2">
      <c r="A561" s="67"/>
      <c r="B561" s="67"/>
      <c r="C561" s="67"/>
      <c r="D561" s="67"/>
      <c r="E561" s="67"/>
      <c r="F561" s="67"/>
      <c r="G561" s="67"/>
      <c r="H561" s="68"/>
    </row>
    <row r="562" spans="1:8" ht="14.25" x14ac:dyDescent="0.2">
      <c r="A562" s="67"/>
      <c r="B562" s="67"/>
      <c r="C562" s="67"/>
      <c r="D562" s="67"/>
      <c r="E562" s="67"/>
      <c r="F562" s="67"/>
      <c r="G562" s="67"/>
      <c r="H562" s="68"/>
    </row>
    <row r="563" spans="1:8" ht="14.25" x14ac:dyDescent="0.2">
      <c r="A563" s="67"/>
      <c r="B563" s="67"/>
      <c r="C563" s="67"/>
      <c r="D563" s="67"/>
      <c r="E563" s="83" t="s">
        <v>1756</v>
      </c>
      <c r="F563" s="67"/>
      <c r="G563" s="67"/>
      <c r="H563" s="68"/>
    </row>
    <row r="573" spans="1:8" x14ac:dyDescent="0.2">
      <c r="E573" s="3"/>
    </row>
  </sheetData>
  <mergeCells count="5">
    <mergeCell ref="A15:H15"/>
    <mergeCell ref="A17:H17"/>
    <mergeCell ref="A484:D484"/>
    <mergeCell ref="A19:H19"/>
    <mergeCell ref="A21:H21"/>
  </mergeCells>
  <phoneticPr fontId="2" type="noConversion"/>
  <pageMargins left="0.5" right="0.25" top="1" bottom="1" header="0.5" footer="0.5"/>
  <pageSetup scale="85" orientation="portrait" r:id="rId1"/>
  <headerFooter alignWithMargins="0"/>
  <rowBreaks count="10" manualBreakCount="10">
    <brk id="52" max="7" man="1"/>
    <brk id="102" max="16383" man="1"/>
    <brk id="154" max="16383" man="1"/>
    <brk id="206" max="16383" man="1"/>
    <brk id="258" max="16383" man="1"/>
    <brk id="309" max="16383" man="1"/>
    <brk id="362" max="7" man="1"/>
    <brk id="414" max="16383" man="1"/>
    <brk id="473" max="16383" man="1"/>
    <brk id="523" max="7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124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3.285156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t="s">
        <v>1433</v>
      </c>
      <c r="B1" s="4" t="s">
        <v>653</v>
      </c>
    </row>
    <row r="2" spans="1:9" x14ac:dyDescent="0.2">
      <c r="B2" s="4" t="s">
        <v>583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3" spans="1:9" x14ac:dyDescent="0.2">
      <c r="C3" s="1" t="s">
        <v>1554</v>
      </c>
      <c r="D3" s="1" t="s">
        <v>1554</v>
      </c>
      <c r="E3" s="1" t="s">
        <v>1554</v>
      </c>
      <c r="F3" s="1" t="s">
        <v>1554</v>
      </c>
      <c r="G3" s="1" t="s">
        <v>1554</v>
      </c>
    </row>
    <row r="4" spans="1:9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202" t="s">
        <v>2462</v>
      </c>
      <c r="B5" s="4" t="s">
        <v>313</v>
      </c>
    </row>
    <row r="6" spans="1:9" x14ac:dyDescent="0.2">
      <c r="A6" t="s">
        <v>766</v>
      </c>
      <c r="B6" s="125" t="s">
        <v>2102</v>
      </c>
      <c r="C6" s="10">
        <v>678.3</v>
      </c>
      <c r="D6" s="10">
        <v>681.52</v>
      </c>
      <c r="E6" s="10">
        <v>685.17</v>
      </c>
      <c r="F6" s="10">
        <v>642.52</v>
      </c>
      <c r="G6" s="10">
        <v>554.65</v>
      </c>
      <c r="H6" s="10">
        <v>0</v>
      </c>
      <c r="I6" s="10">
        <v>0</v>
      </c>
    </row>
    <row r="7" spans="1:9" x14ac:dyDescent="0.2">
      <c r="A7" t="s">
        <v>673</v>
      </c>
      <c r="B7" s="125" t="s">
        <v>2103</v>
      </c>
      <c r="C7" s="10">
        <v>678.3</v>
      </c>
      <c r="D7" s="10">
        <v>624.14</v>
      </c>
      <c r="E7" s="10">
        <v>685.35</v>
      </c>
      <c r="F7" s="10">
        <v>587.82000000000005</v>
      </c>
      <c r="G7" s="10">
        <v>554.65</v>
      </c>
      <c r="H7" s="10">
        <v>0</v>
      </c>
      <c r="I7" s="10">
        <v>0</v>
      </c>
    </row>
    <row r="8" spans="1:9" x14ac:dyDescent="0.2">
      <c r="A8" t="s">
        <v>674</v>
      </c>
      <c r="B8" s="125" t="s">
        <v>2104</v>
      </c>
      <c r="C8" s="10">
        <v>678.3</v>
      </c>
      <c r="D8" s="10">
        <v>681.52</v>
      </c>
      <c r="E8" s="10">
        <v>685.17</v>
      </c>
      <c r="F8" s="10">
        <v>642.52</v>
      </c>
      <c r="G8" s="10">
        <v>554.65</v>
      </c>
      <c r="H8" s="10">
        <v>0</v>
      </c>
      <c r="I8" s="10">
        <v>0</v>
      </c>
    </row>
    <row r="9" spans="1:9" x14ac:dyDescent="0.2">
      <c r="A9" t="s">
        <v>675</v>
      </c>
      <c r="B9" s="125" t="s">
        <v>2105</v>
      </c>
      <c r="C9" s="10">
        <v>678.3</v>
      </c>
      <c r="D9" s="10">
        <v>681.52</v>
      </c>
      <c r="E9" s="10">
        <v>685.17</v>
      </c>
      <c r="F9" s="10">
        <v>642.52</v>
      </c>
      <c r="G9" s="10">
        <v>597.79999999999995</v>
      </c>
      <c r="H9" s="10">
        <v>0</v>
      </c>
      <c r="I9" s="10">
        <v>0</v>
      </c>
    </row>
    <row r="10" spans="1:9" x14ac:dyDescent="0.2">
      <c r="A10" t="s">
        <v>676</v>
      </c>
      <c r="B10" s="125" t="s">
        <v>2106</v>
      </c>
      <c r="C10" s="10">
        <v>678.3</v>
      </c>
      <c r="D10" s="10">
        <v>738.9</v>
      </c>
      <c r="E10" s="10">
        <v>740.92</v>
      </c>
      <c r="F10" s="10">
        <v>641.92999999999995</v>
      </c>
      <c r="G10" s="10">
        <v>640.77</v>
      </c>
      <c r="H10" s="10">
        <v>0</v>
      </c>
      <c r="I10" s="10">
        <v>0</v>
      </c>
    </row>
    <row r="11" spans="1:9" x14ac:dyDescent="0.2">
      <c r="A11" t="s">
        <v>677</v>
      </c>
      <c r="B11" s="125" t="s">
        <v>2107</v>
      </c>
      <c r="C11" s="10">
        <v>736.54</v>
      </c>
      <c r="D11" s="10">
        <v>1013.42</v>
      </c>
      <c r="E11" s="10">
        <v>796.3</v>
      </c>
      <c r="F11" s="10">
        <v>690.9</v>
      </c>
      <c r="G11" s="10">
        <v>597.27</v>
      </c>
      <c r="H11" s="10">
        <v>0</v>
      </c>
      <c r="I11" s="10">
        <v>0</v>
      </c>
    </row>
    <row r="12" spans="1:9" x14ac:dyDescent="0.2">
      <c r="A12" t="s">
        <v>678</v>
      </c>
      <c r="B12" s="125" t="s">
        <v>1761</v>
      </c>
      <c r="C12" s="10">
        <v>50.08</v>
      </c>
      <c r="D12" s="10">
        <v>24.03</v>
      </c>
      <c r="E12" s="10">
        <v>23.11</v>
      </c>
      <c r="F12" s="10">
        <v>43.7</v>
      </c>
      <c r="G12" s="10">
        <v>45.96</v>
      </c>
      <c r="H12" s="10">
        <v>0</v>
      </c>
      <c r="I12" s="10">
        <v>0</v>
      </c>
    </row>
    <row r="13" spans="1:9" x14ac:dyDescent="0.2">
      <c r="A13" t="s">
        <v>679</v>
      </c>
      <c r="B13" s="125" t="s">
        <v>1878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3.5" thickBot="1" x14ac:dyDescent="0.25">
      <c r="B14" s="6" t="s">
        <v>137</v>
      </c>
      <c r="C14" s="36">
        <f t="shared" ref="C14:G14" si="0">SUM(C6:C13)</f>
        <v>4178.12</v>
      </c>
      <c r="D14" s="36">
        <f t="shared" si="0"/>
        <v>4445.0499999999993</v>
      </c>
      <c r="E14" s="36">
        <f t="shared" si="0"/>
        <v>4301.1899999999996</v>
      </c>
      <c r="F14" s="36">
        <f t="shared" si="0"/>
        <v>3891.91</v>
      </c>
      <c r="G14" s="36">
        <f t="shared" si="0"/>
        <v>3545.75</v>
      </c>
      <c r="H14" s="36">
        <f t="shared" ref="H14:I14" si="1">SUM(H6:H13)</f>
        <v>0</v>
      </c>
      <c r="I14" s="36">
        <f t="shared" si="1"/>
        <v>0</v>
      </c>
    </row>
    <row r="15" spans="1:9" ht="13.5" thickTop="1" x14ac:dyDescent="0.2">
      <c r="C15" s="10"/>
      <c r="D15" s="10"/>
      <c r="E15" s="10"/>
      <c r="F15" s="10"/>
      <c r="G15" s="10"/>
      <c r="H15" s="10"/>
      <c r="I15" s="10"/>
    </row>
    <row r="16" spans="1:9" x14ac:dyDescent="0.2">
      <c r="C16" s="10"/>
      <c r="D16" s="10"/>
      <c r="E16" s="10"/>
      <c r="F16" s="10"/>
      <c r="G16" s="10"/>
      <c r="H16" s="10"/>
      <c r="I16" s="10"/>
    </row>
    <row r="17" spans="1:9" x14ac:dyDescent="0.2">
      <c r="A17" s="202" t="s">
        <v>2462</v>
      </c>
      <c r="B17" s="4" t="s">
        <v>861</v>
      </c>
      <c r="C17" s="10"/>
      <c r="D17" s="10"/>
      <c r="E17" s="10"/>
      <c r="F17" s="10"/>
      <c r="G17" s="10"/>
      <c r="H17" s="10"/>
      <c r="I17" s="10"/>
    </row>
    <row r="18" spans="1:9" x14ac:dyDescent="0.2">
      <c r="A18" t="s">
        <v>581</v>
      </c>
      <c r="B18" s="126" t="s">
        <v>2108</v>
      </c>
      <c r="C18" s="10">
        <v>2349.42</v>
      </c>
      <c r="D18" s="10">
        <v>2241.37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</row>
    <row r="19" spans="1:9" x14ac:dyDescent="0.2">
      <c r="A19" t="s">
        <v>580</v>
      </c>
      <c r="B19" s="126" t="s">
        <v>2109</v>
      </c>
      <c r="C19" s="10">
        <v>1735</v>
      </c>
      <c r="D19" s="10">
        <v>1403.64</v>
      </c>
      <c r="E19" s="10">
        <v>295</v>
      </c>
      <c r="F19" s="10">
        <v>45</v>
      </c>
      <c r="G19" s="10">
        <v>525</v>
      </c>
      <c r="H19" s="10">
        <v>0</v>
      </c>
      <c r="I19" s="10">
        <v>0</v>
      </c>
    </row>
    <row r="20" spans="1:9" x14ac:dyDescent="0.2">
      <c r="A20" t="s">
        <v>576</v>
      </c>
      <c r="B20" s="126" t="s">
        <v>2110</v>
      </c>
      <c r="C20" s="10">
        <v>0</v>
      </c>
      <c r="D20" s="10">
        <v>1390.52</v>
      </c>
      <c r="E20" s="10">
        <v>0</v>
      </c>
      <c r="F20" s="10">
        <v>25</v>
      </c>
      <c r="G20" s="10">
        <v>973.27</v>
      </c>
      <c r="H20" s="10">
        <v>0</v>
      </c>
      <c r="I20" s="10">
        <v>0</v>
      </c>
    </row>
    <row r="21" spans="1:9" x14ac:dyDescent="0.2">
      <c r="A21" t="s">
        <v>577</v>
      </c>
      <c r="B21" s="126" t="s">
        <v>2111</v>
      </c>
      <c r="C21" s="10">
        <v>0</v>
      </c>
      <c r="D21" s="10">
        <v>0</v>
      </c>
      <c r="E21" s="10">
        <v>0</v>
      </c>
      <c r="F21" s="10">
        <v>1377.14</v>
      </c>
      <c r="G21" s="10">
        <v>0</v>
      </c>
      <c r="H21" s="10">
        <v>0</v>
      </c>
      <c r="I21" s="10">
        <v>0</v>
      </c>
    </row>
    <row r="22" spans="1:9" x14ac:dyDescent="0.2">
      <c r="A22" t="s">
        <v>578</v>
      </c>
      <c r="B22" s="126" t="s">
        <v>2112</v>
      </c>
      <c r="C22" s="10">
        <v>716.91</v>
      </c>
      <c r="D22" s="10">
        <v>1231.8399999999999</v>
      </c>
      <c r="E22" s="10">
        <v>0</v>
      </c>
      <c r="F22" s="10">
        <v>275</v>
      </c>
      <c r="G22" s="10">
        <v>1747.22</v>
      </c>
      <c r="H22" s="10">
        <v>0</v>
      </c>
      <c r="I22" s="10">
        <v>0</v>
      </c>
    </row>
    <row r="23" spans="1:9" x14ac:dyDescent="0.2">
      <c r="A23" t="s">
        <v>579</v>
      </c>
      <c r="B23" s="126" t="s">
        <v>2113</v>
      </c>
      <c r="C23" s="10">
        <v>0</v>
      </c>
      <c r="D23" s="10">
        <v>1330.52</v>
      </c>
      <c r="E23" s="10">
        <v>0</v>
      </c>
      <c r="F23" s="10">
        <v>598.75</v>
      </c>
      <c r="G23" s="10">
        <v>1185.42</v>
      </c>
      <c r="H23" s="10">
        <v>0</v>
      </c>
      <c r="I23" s="10">
        <v>0</v>
      </c>
    </row>
    <row r="24" spans="1:9" x14ac:dyDescent="0.2">
      <c r="A24" t="s">
        <v>582</v>
      </c>
      <c r="B24" s="125" t="s">
        <v>2114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3.5" thickBot="1" x14ac:dyDescent="0.25">
      <c r="B25" s="6" t="s">
        <v>1341</v>
      </c>
      <c r="C25" s="36">
        <f t="shared" ref="C25:G25" si="2">SUM(C18:C24)</f>
        <v>4801.33</v>
      </c>
      <c r="D25" s="36">
        <f t="shared" si="2"/>
        <v>7597.8900000000012</v>
      </c>
      <c r="E25" s="36">
        <f t="shared" si="2"/>
        <v>295</v>
      </c>
      <c r="F25" s="36">
        <f t="shared" si="2"/>
        <v>2320.8900000000003</v>
      </c>
      <c r="G25" s="36">
        <f t="shared" si="2"/>
        <v>4430.91</v>
      </c>
      <c r="H25" s="36">
        <f t="shared" ref="H25:I25" si="3">SUM(H18:H24)</f>
        <v>0</v>
      </c>
      <c r="I25" s="36">
        <f t="shared" si="3"/>
        <v>0</v>
      </c>
    </row>
    <row r="26" spans="1:9" ht="13.5" thickTop="1" x14ac:dyDescent="0.2">
      <c r="B26" s="6"/>
      <c r="C26" s="10"/>
      <c r="D26" s="10"/>
      <c r="E26" s="10"/>
      <c r="F26" s="10"/>
      <c r="G26" s="10"/>
      <c r="H26" s="10"/>
      <c r="I26" s="10"/>
    </row>
    <row r="27" spans="1:9" x14ac:dyDescent="0.2">
      <c r="B27" s="6"/>
      <c r="C27" s="10"/>
      <c r="D27" s="10"/>
      <c r="E27" s="10"/>
      <c r="F27" s="10"/>
      <c r="G27" s="10"/>
      <c r="H27" s="10"/>
      <c r="I27" s="10"/>
    </row>
    <row r="28" spans="1:9" x14ac:dyDescent="0.2">
      <c r="B28" s="4" t="s">
        <v>653</v>
      </c>
      <c r="C28" s="112" t="s">
        <v>1433</v>
      </c>
      <c r="D28" s="112" t="s">
        <v>1433</v>
      </c>
      <c r="E28" s="112" t="s">
        <v>1433</v>
      </c>
      <c r="F28" s="112" t="s">
        <v>1433</v>
      </c>
      <c r="G28" s="112" t="s">
        <v>1433</v>
      </c>
      <c r="H28" s="112" t="s">
        <v>1433</v>
      </c>
      <c r="I28" s="112" t="s">
        <v>1433</v>
      </c>
    </row>
    <row r="29" spans="1:9" x14ac:dyDescent="0.2">
      <c r="B29" s="4" t="s">
        <v>583</v>
      </c>
      <c r="C29" s="112" t="s">
        <v>1433</v>
      </c>
      <c r="D29" s="112" t="s">
        <v>1433</v>
      </c>
      <c r="E29" s="112" t="s">
        <v>1433</v>
      </c>
      <c r="F29" s="112" t="s">
        <v>1433</v>
      </c>
      <c r="G29" s="112" t="s">
        <v>1433</v>
      </c>
      <c r="H29" s="112" t="s">
        <v>1433</v>
      </c>
      <c r="I29" s="112" t="s">
        <v>1433</v>
      </c>
    </row>
    <row r="30" spans="1:9" x14ac:dyDescent="0.2">
      <c r="B30" s="4" t="s">
        <v>1343</v>
      </c>
      <c r="C30" s="112" t="s">
        <v>1433</v>
      </c>
      <c r="D30" s="112" t="s">
        <v>1433</v>
      </c>
      <c r="E30" s="112" t="s">
        <v>1433</v>
      </c>
      <c r="F30" s="112" t="s">
        <v>1433</v>
      </c>
      <c r="G30" s="112" t="s">
        <v>1433</v>
      </c>
      <c r="H30" s="112" t="s">
        <v>1433</v>
      </c>
      <c r="I30" s="112" t="s">
        <v>1433</v>
      </c>
    </row>
    <row r="31" spans="1:9" x14ac:dyDescent="0.2">
      <c r="C31" s="129" t="str">
        <f t="shared" ref="C31:G31" si="4">+C4</f>
        <v>2018 ACTUAL</v>
      </c>
      <c r="D31" s="129" t="str">
        <f t="shared" si="4"/>
        <v>2019 ACTUAL</v>
      </c>
      <c r="E31" s="129" t="str">
        <f t="shared" si="4"/>
        <v>2020 ACTUAL</v>
      </c>
      <c r="F31" s="129" t="str">
        <f t="shared" si="4"/>
        <v>2021 ACTUAL</v>
      </c>
      <c r="G31" s="129" t="str">
        <f t="shared" si="4"/>
        <v>2022 ACTUAL</v>
      </c>
      <c r="H31" s="129" t="str">
        <f t="shared" ref="H31:I31" si="5">+H4</f>
        <v xml:space="preserve">2023 BUDGET </v>
      </c>
      <c r="I31" s="129" t="str">
        <f t="shared" si="5"/>
        <v xml:space="preserve">2024 BUDGET </v>
      </c>
    </row>
    <row r="32" spans="1:9" x14ac:dyDescent="0.2">
      <c r="C32" s="112"/>
      <c r="D32" s="112"/>
      <c r="E32" s="112"/>
      <c r="F32" s="112"/>
      <c r="G32" s="112"/>
      <c r="H32" s="112"/>
      <c r="I32" s="112"/>
    </row>
    <row r="33" spans="2:9" x14ac:dyDescent="0.2">
      <c r="B33" t="s">
        <v>1344</v>
      </c>
      <c r="C33" s="10">
        <v>12857.87</v>
      </c>
      <c r="D33" s="10">
        <f t="shared" ref="D33:I33" si="6">C41</f>
        <v>12234.660000000002</v>
      </c>
      <c r="E33" s="10">
        <f t="shared" si="6"/>
        <v>9081.8199999999979</v>
      </c>
      <c r="F33" s="10">
        <f t="shared" si="6"/>
        <v>13088.009999999998</v>
      </c>
      <c r="G33" s="10">
        <f t="shared" si="6"/>
        <v>14659.029999999999</v>
      </c>
      <c r="H33" s="10">
        <f t="shared" si="6"/>
        <v>13773.869999999999</v>
      </c>
      <c r="I33" s="10">
        <f t="shared" si="6"/>
        <v>13773.869999999999</v>
      </c>
    </row>
    <row r="34" spans="2:9" x14ac:dyDescent="0.2">
      <c r="C34" s="10"/>
      <c r="D34" s="10"/>
      <c r="E34" s="10"/>
      <c r="F34" s="10"/>
      <c r="G34" s="10"/>
      <c r="H34" s="10"/>
      <c r="I34" s="10"/>
    </row>
    <row r="35" spans="2:9" x14ac:dyDescent="0.2">
      <c r="B35" t="s">
        <v>113</v>
      </c>
      <c r="C35" s="10">
        <f t="shared" ref="C35:G35" si="7">C14</f>
        <v>4178.12</v>
      </c>
      <c r="D35" s="10">
        <f t="shared" si="7"/>
        <v>4445.0499999999993</v>
      </c>
      <c r="E35" s="10">
        <f t="shared" si="7"/>
        <v>4301.1899999999996</v>
      </c>
      <c r="F35" s="10">
        <f t="shared" si="7"/>
        <v>3891.91</v>
      </c>
      <c r="G35" s="10">
        <f t="shared" si="7"/>
        <v>3545.75</v>
      </c>
      <c r="H35" s="10">
        <f t="shared" ref="H35:I35" si="8">H14</f>
        <v>0</v>
      </c>
      <c r="I35" s="10">
        <f t="shared" si="8"/>
        <v>0</v>
      </c>
    </row>
    <row r="36" spans="2:9" x14ac:dyDescent="0.2">
      <c r="C36" s="10"/>
      <c r="D36" s="10"/>
      <c r="E36" s="10"/>
      <c r="F36" s="10"/>
      <c r="G36" s="10"/>
      <c r="H36" s="10"/>
      <c r="I36" s="10"/>
    </row>
    <row r="37" spans="2:9" x14ac:dyDescent="0.2">
      <c r="B37" t="s">
        <v>1427</v>
      </c>
      <c r="C37" s="10">
        <f t="shared" ref="C37:G37" si="9">C25</f>
        <v>4801.33</v>
      </c>
      <c r="D37" s="10">
        <f t="shared" si="9"/>
        <v>7597.8900000000012</v>
      </c>
      <c r="E37" s="10">
        <f t="shared" si="9"/>
        <v>295</v>
      </c>
      <c r="F37" s="10">
        <f t="shared" si="9"/>
        <v>2320.8900000000003</v>
      </c>
      <c r="G37" s="10">
        <f t="shared" si="9"/>
        <v>4430.91</v>
      </c>
      <c r="H37" s="10">
        <f t="shared" ref="H37:I37" si="10">H25</f>
        <v>0</v>
      </c>
      <c r="I37" s="10">
        <f t="shared" si="10"/>
        <v>0</v>
      </c>
    </row>
    <row r="38" spans="2:9" x14ac:dyDescent="0.2">
      <c r="C38" s="10"/>
      <c r="D38" s="10"/>
      <c r="E38" s="10"/>
      <c r="F38" s="10"/>
      <c r="G38" s="10"/>
      <c r="H38" s="10"/>
      <c r="I38" s="10"/>
    </row>
    <row r="39" spans="2:9" x14ac:dyDescent="0.2">
      <c r="B39" t="s">
        <v>1347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</row>
    <row r="40" spans="2:9" x14ac:dyDescent="0.2">
      <c r="C40" s="10"/>
      <c r="D40" s="10"/>
      <c r="E40" s="10"/>
      <c r="F40" s="10"/>
      <c r="G40" s="10"/>
      <c r="H40" s="10"/>
      <c r="I40" s="10"/>
    </row>
    <row r="41" spans="2:9" ht="13.5" thickBot="1" x14ac:dyDescent="0.25">
      <c r="B41" t="s">
        <v>1348</v>
      </c>
      <c r="C41" s="36">
        <f t="shared" ref="C41:G41" si="11">C33+C35-C37+C39</f>
        <v>12234.660000000002</v>
      </c>
      <c r="D41" s="36">
        <f t="shared" si="11"/>
        <v>9081.8199999999979</v>
      </c>
      <c r="E41" s="36">
        <f t="shared" si="11"/>
        <v>13088.009999999998</v>
      </c>
      <c r="F41" s="36">
        <f t="shared" si="11"/>
        <v>14659.029999999999</v>
      </c>
      <c r="G41" s="36">
        <f t="shared" si="11"/>
        <v>13773.869999999999</v>
      </c>
      <c r="H41" s="36">
        <f t="shared" ref="H41:I41" si="12">H33+H35-H37+H39</f>
        <v>13773.869999999999</v>
      </c>
      <c r="I41" s="36">
        <f t="shared" si="12"/>
        <v>13773.869999999999</v>
      </c>
    </row>
    <row r="42" spans="2:9" ht="13.5" thickTop="1" x14ac:dyDescent="0.2"/>
    <row r="43" spans="2:9" x14ac:dyDescent="0.2">
      <c r="C43" s="10"/>
      <c r="D43" s="100"/>
      <c r="G43" s="10"/>
    </row>
    <row r="44" spans="2:9" x14ac:dyDescent="0.2">
      <c r="D44" s="10"/>
      <c r="E44" s="115"/>
    </row>
    <row r="124" spans="3:7" x14ac:dyDescent="0.2">
      <c r="C124" s="9"/>
      <c r="D124" s="9"/>
      <c r="E124" s="9"/>
      <c r="F124" s="9"/>
      <c r="G124" s="9"/>
    </row>
  </sheetData>
  <phoneticPr fontId="2" type="noConversion"/>
  <pageMargins left="0.5" right="0.5" top="1" bottom="1" header="0.5" footer="0.5"/>
  <pageSetup scale="77" firstPageNumber="27" fitToHeight="0" orientation="portrait" useFirstPageNumber="1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35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3.1406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t="s">
        <v>1433</v>
      </c>
      <c r="B1" s="4" t="s">
        <v>653</v>
      </c>
      <c r="C1" s="1" t="s">
        <v>1433</v>
      </c>
      <c r="D1" s="1" t="s">
        <v>1433</v>
      </c>
      <c r="E1" s="1" t="s">
        <v>1433</v>
      </c>
      <c r="F1" s="1" t="s">
        <v>1433</v>
      </c>
      <c r="G1" s="1" t="s">
        <v>1433</v>
      </c>
    </row>
    <row r="2" spans="1:9" x14ac:dyDescent="0.2">
      <c r="B2" s="4" t="s">
        <v>584</v>
      </c>
      <c r="C2" s="1" t="s">
        <v>1554</v>
      </c>
      <c r="D2" s="1" t="s">
        <v>1554</v>
      </c>
      <c r="E2" s="1" t="s">
        <v>1554</v>
      </c>
      <c r="F2" s="1" t="s">
        <v>1554</v>
      </c>
      <c r="G2" s="1" t="s">
        <v>1554</v>
      </c>
    </row>
    <row r="3" spans="1:9" x14ac:dyDescent="0.2">
      <c r="B3" s="4"/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9" x14ac:dyDescent="0.2">
      <c r="A4" s="204" t="s">
        <v>2463</v>
      </c>
      <c r="B4" s="4" t="s">
        <v>313</v>
      </c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t="s">
        <v>680</v>
      </c>
      <c r="B5" s="126" t="s">
        <v>1827</v>
      </c>
      <c r="C5" s="17">
        <v>0</v>
      </c>
      <c r="D5" s="17">
        <v>0</v>
      </c>
      <c r="E5" s="17">
        <v>45859.32</v>
      </c>
      <c r="F5" s="17">
        <v>23700.68</v>
      </c>
      <c r="G5" s="17">
        <v>25315.24</v>
      </c>
      <c r="H5" s="17">
        <v>52707.415562774077</v>
      </c>
      <c r="I5" s="17">
        <f>+intro!H380</f>
        <v>112435.75005416817</v>
      </c>
    </row>
    <row r="6" spans="1:9" x14ac:dyDescent="0.2">
      <c r="A6" s="16" t="s">
        <v>681</v>
      </c>
      <c r="B6" s="126" t="s">
        <v>1828</v>
      </c>
      <c r="C6" s="10">
        <v>0</v>
      </c>
      <c r="D6" s="10">
        <v>0</v>
      </c>
      <c r="E6" s="10">
        <v>1871.8</v>
      </c>
      <c r="F6" s="10">
        <v>722.4</v>
      </c>
      <c r="G6" s="10">
        <v>775.34</v>
      </c>
      <c r="H6" s="10">
        <v>1435.0000000000002</v>
      </c>
      <c r="I6" s="10">
        <f>+intro!K390</f>
        <v>2831</v>
      </c>
    </row>
    <row r="7" spans="1:9" x14ac:dyDescent="0.2">
      <c r="A7" s="16" t="s">
        <v>1525</v>
      </c>
      <c r="B7" s="126" t="s">
        <v>2115</v>
      </c>
      <c r="C7" s="10">
        <v>0</v>
      </c>
      <c r="D7" s="10">
        <v>41376.19</v>
      </c>
      <c r="E7" s="10">
        <v>0</v>
      </c>
      <c r="F7" s="10">
        <v>35825.230000000003</v>
      </c>
      <c r="G7" s="10">
        <v>59000</v>
      </c>
      <c r="H7" s="10">
        <f>104000+10000</f>
        <v>114000</v>
      </c>
      <c r="I7" s="10">
        <f>104000+10000</f>
        <v>114000</v>
      </c>
    </row>
    <row r="8" spans="1:9" x14ac:dyDescent="0.2">
      <c r="A8" t="s">
        <v>1361</v>
      </c>
      <c r="B8" s="125" t="s">
        <v>2116</v>
      </c>
      <c r="C8" s="10">
        <v>63568.95</v>
      </c>
      <c r="D8" s="10">
        <v>63152.800000000003</v>
      </c>
      <c r="E8" s="10">
        <v>62058.400000000001</v>
      </c>
      <c r="F8" s="10">
        <v>61911.64</v>
      </c>
      <c r="G8" s="10">
        <v>56950</v>
      </c>
      <c r="H8" s="10">
        <v>73000</v>
      </c>
      <c r="I8" s="10">
        <v>73000</v>
      </c>
    </row>
    <row r="9" spans="1:9" x14ac:dyDescent="0.2">
      <c r="A9" s="16" t="s">
        <v>406</v>
      </c>
      <c r="B9" s="126" t="s">
        <v>2117</v>
      </c>
      <c r="C9" s="12">
        <v>9677.02</v>
      </c>
      <c r="D9" s="12">
        <v>18658.57</v>
      </c>
      <c r="E9" s="12">
        <v>14279.22</v>
      </c>
      <c r="F9" s="12">
        <v>18332.82</v>
      </c>
      <c r="G9" s="12">
        <v>20503.97</v>
      </c>
      <c r="H9" s="10">
        <v>0</v>
      </c>
      <c r="I9" s="10">
        <v>0</v>
      </c>
    </row>
    <row r="10" spans="1:9" x14ac:dyDescent="0.2">
      <c r="B10" s="6" t="s">
        <v>1118</v>
      </c>
      <c r="C10" s="38">
        <f t="shared" ref="C10:G10" si="0">SUM(C5:C9)</f>
        <v>73245.97</v>
      </c>
      <c r="D10" s="38">
        <f t="shared" si="0"/>
        <v>123187.56</v>
      </c>
      <c r="E10" s="38">
        <f t="shared" si="0"/>
        <v>124068.74</v>
      </c>
      <c r="F10" s="38">
        <f t="shared" si="0"/>
        <v>140492.77000000002</v>
      </c>
      <c r="G10" s="38">
        <f t="shared" si="0"/>
        <v>162544.55000000002</v>
      </c>
      <c r="H10" s="38">
        <f t="shared" ref="H10:I10" si="1">SUM(H5:H9)</f>
        <v>241142.41556277408</v>
      </c>
      <c r="I10" s="38">
        <f t="shared" si="1"/>
        <v>302266.75005416817</v>
      </c>
    </row>
    <row r="11" spans="1:9" x14ac:dyDescent="0.2">
      <c r="C11" s="10"/>
      <c r="D11" s="10"/>
      <c r="E11" s="10"/>
      <c r="F11" s="10"/>
      <c r="G11" s="10"/>
      <c r="H11" s="10"/>
      <c r="I11" s="10"/>
    </row>
    <row r="12" spans="1:9" x14ac:dyDescent="0.2">
      <c r="A12" s="204" t="s">
        <v>2463</v>
      </c>
      <c r="B12" s="4" t="s">
        <v>1582</v>
      </c>
      <c r="C12" s="10"/>
      <c r="D12" s="10"/>
      <c r="E12" s="10"/>
      <c r="F12" s="10"/>
      <c r="G12" s="10"/>
      <c r="H12" s="10"/>
      <c r="I12" s="10"/>
    </row>
    <row r="13" spans="1:9" x14ac:dyDescent="0.2">
      <c r="A13" t="s">
        <v>1362</v>
      </c>
      <c r="B13" s="125" t="s">
        <v>1761</v>
      </c>
      <c r="C13" s="17">
        <v>3855.73</v>
      </c>
      <c r="D13" s="17">
        <v>5332.88</v>
      </c>
      <c r="E13" s="17">
        <v>3399.79</v>
      </c>
      <c r="F13" s="17">
        <v>1979.44</v>
      </c>
      <c r="G13" s="17">
        <v>1519.01</v>
      </c>
      <c r="H13" s="10">
        <v>200</v>
      </c>
      <c r="I13" s="10">
        <v>2000</v>
      </c>
    </row>
    <row r="14" spans="1:9" x14ac:dyDescent="0.2">
      <c r="A14" t="s">
        <v>1363</v>
      </c>
      <c r="B14" s="125" t="s">
        <v>2118</v>
      </c>
      <c r="C14" s="17">
        <v>69695.17</v>
      </c>
      <c r="D14" s="17">
        <v>54893.45</v>
      </c>
      <c r="E14" s="17">
        <v>27215.85</v>
      </c>
      <c r="F14" s="17">
        <v>66565.47</v>
      </c>
      <c r="G14" s="17">
        <v>101500.81</v>
      </c>
      <c r="H14" s="10">
        <v>95000</v>
      </c>
      <c r="I14" s="10">
        <v>65000</v>
      </c>
    </row>
    <row r="15" spans="1:9" x14ac:dyDescent="0.2">
      <c r="A15" s="16" t="s">
        <v>1364</v>
      </c>
      <c r="B15" s="126" t="s">
        <v>2098</v>
      </c>
      <c r="C15" s="10">
        <v>4728.6000000000004</v>
      </c>
      <c r="D15" s="10">
        <v>2598.46</v>
      </c>
      <c r="E15" s="10">
        <v>1523.33</v>
      </c>
      <c r="F15" s="10">
        <v>2119.1</v>
      </c>
      <c r="G15" s="10">
        <v>8398</v>
      </c>
      <c r="H15" s="10">
        <v>2500</v>
      </c>
      <c r="I15" s="10">
        <f t="shared" ref="I15:I18" si="2">+H15</f>
        <v>2500</v>
      </c>
    </row>
    <row r="16" spans="1:9" x14ac:dyDescent="0.2">
      <c r="A16" s="16" t="s">
        <v>407</v>
      </c>
      <c r="B16" s="126" t="s">
        <v>1875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f t="shared" si="2"/>
        <v>0</v>
      </c>
    </row>
    <row r="17" spans="1:9" x14ac:dyDescent="0.2">
      <c r="A17" t="s">
        <v>1365</v>
      </c>
      <c r="B17" s="125" t="s">
        <v>1878</v>
      </c>
      <c r="C17" s="10">
        <v>0</v>
      </c>
      <c r="D17" s="10">
        <v>139.38</v>
      </c>
      <c r="E17" s="10">
        <v>0</v>
      </c>
      <c r="F17" s="10">
        <v>0</v>
      </c>
      <c r="G17" s="10">
        <v>0</v>
      </c>
      <c r="H17" s="10">
        <v>1400</v>
      </c>
      <c r="I17" s="10">
        <f t="shared" si="2"/>
        <v>1400</v>
      </c>
    </row>
    <row r="18" spans="1:9" x14ac:dyDescent="0.2">
      <c r="A18" t="s">
        <v>1668</v>
      </c>
      <c r="B18" s="125" t="s">
        <v>1881</v>
      </c>
      <c r="C18" s="12">
        <v>0</v>
      </c>
      <c r="D18" s="12">
        <v>0</v>
      </c>
      <c r="E18" s="12">
        <v>0</v>
      </c>
      <c r="F18" s="12">
        <v>0</v>
      </c>
      <c r="G18" s="12">
        <v>10000</v>
      </c>
      <c r="H18" s="10">
        <v>0</v>
      </c>
      <c r="I18" s="10">
        <f t="shared" si="2"/>
        <v>0</v>
      </c>
    </row>
    <row r="19" spans="1:9" x14ac:dyDescent="0.2">
      <c r="B19" s="6" t="s">
        <v>1118</v>
      </c>
      <c r="C19" s="38">
        <f t="shared" ref="C19:G19" si="3">SUM(C13:C18)</f>
        <v>78279.5</v>
      </c>
      <c r="D19" s="38">
        <f t="shared" si="3"/>
        <v>62964.169999999991</v>
      </c>
      <c r="E19" s="38">
        <f t="shared" si="3"/>
        <v>32138.97</v>
      </c>
      <c r="F19" s="38">
        <f t="shared" si="3"/>
        <v>70664.010000000009</v>
      </c>
      <c r="G19" s="38">
        <f t="shared" si="3"/>
        <v>121417.81999999999</v>
      </c>
      <c r="H19" s="38">
        <f t="shared" ref="H19:I19" si="4">SUM(H13:H18)</f>
        <v>99100</v>
      </c>
      <c r="I19" s="38">
        <f t="shared" si="4"/>
        <v>70900</v>
      </c>
    </row>
    <row r="20" spans="1:9" x14ac:dyDescent="0.2">
      <c r="C20" s="10"/>
      <c r="D20" s="10"/>
      <c r="E20" s="10"/>
      <c r="F20" s="199"/>
      <c r="G20" s="10"/>
      <c r="H20" s="10"/>
      <c r="I20" s="10"/>
    </row>
    <row r="21" spans="1:9" ht="13.5" thickBot="1" x14ac:dyDescent="0.25">
      <c r="B21" s="6" t="s">
        <v>137</v>
      </c>
      <c r="C21" s="36">
        <f t="shared" ref="C21:G21" si="5">C10+C19</f>
        <v>151525.47</v>
      </c>
      <c r="D21" s="36">
        <f t="shared" si="5"/>
        <v>186151.72999999998</v>
      </c>
      <c r="E21" s="36">
        <f t="shared" si="5"/>
        <v>156207.71000000002</v>
      </c>
      <c r="F21" s="36">
        <f t="shared" si="5"/>
        <v>211156.78000000003</v>
      </c>
      <c r="G21" s="36">
        <f t="shared" si="5"/>
        <v>283962.37</v>
      </c>
      <c r="H21" s="36">
        <f t="shared" ref="H21:I21" si="6">H10+H19</f>
        <v>340242.41556277405</v>
      </c>
      <c r="I21" s="36">
        <f t="shared" si="6"/>
        <v>373166.75005416817</v>
      </c>
    </row>
    <row r="22" spans="1:9" ht="13.5" thickTop="1" x14ac:dyDescent="0.2">
      <c r="C22" s="10"/>
      <c r="D22" s="10"/>
      <c r="E22" s="10"/>
      <c r="F22" s="10"/>
      <c r="G22" s="10"/>
      <c r="H22" s="10"/>
      <c r="I22" s="10"/>
    </row>
    <row r="23" spans="1:9" x14ac:dyDescent="0.2">
      <c r="A23" s="204">
        <v>240.69499999999999</v>
      </c>
      <c r="B23" s="4" t="s">
        <v>861</v>
      </c>
      <c r="C23" s="10"/>
      <c r="D23" s="10"/>
      <c r="E23" s="10"/>
      <c r="F23" s="10"/>
      <c r="G23" s="10"/>
      <c r="H23" s="10"/>
      <c r="I23" s="10"/>
    </row>
    <row r="24" spans="1:9" x14ac:dyDescent="0.2">
      <c r="A24" t="s">
        <v>417</v>
      </c>
      <c r="B24" s="125" t="s">
        <v>2119</v>
      </c>
      <c r="C24" s="10">
        <v>30000</v>
      </c>
      <c r="D24" s="10">
        <v>30000</v>
      </c>
      <c r="E24" s="10">
        <v>30000</v>
      </c>
      <c r="F24" s="10">
        <v>30000</v>
      </c>
      <c r="G24" s="10">
        <v>30000</v>
      </c>
      <c r="H24" s="10">
        <v>30000</v>
      </c>
      <c r="I24" s="10">
        <f t="shared" ref="I24:I30" si="7">+H24</f>
        <v>30000</v>
      </c>
    </row>
    <row r="25" spans="1:9" x14ac:dyDescent="0.2">
      <c r="A25" t="s">
        <v>373</v>
      </c>
      <c r="B25" s="125" t="s">
        <v>2120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f t="shared" si="7"/>
        <v>0</v>
      </c>
    </row>
    <row r="26" spans="1:9" x14ac:dyDescent="0.2">
      <c r="A26" t="s">
        <v>585</v>
      </c>
      <c r="B26" s="125" t="s">
        <v>1895</v>
      </c>
      <c r="C26" s="10">
        <v>797.12</v>
      </c>
      <c r="D26" s="10">
        <v>411.12</v>
      </c>
      <c r="E26" s="10">
        <v>80.88</v>
      </c>
      <c r="F26" s="10">
        <v>163.91</v>
      </c>
      <c r="G26" s="10">
        <v>167.97</v>
      </c>
      <c r="H26" s="10">
        <v>800</v>
      </c>
      <c r="I26" s="10">
        <f t="shared" si="7"/>
        <v>800</v>
      </c>
    </row>
    <row r="27" spans="1:9" x14ac:dyDescent="0.2">
      <c r="A27" t="s">
        <v>593</v>
      </c>
      <c r="B27" s="125" t="s">
        <v>2024</v>
      </c>
      <c r="C27" s="10">
        <v>90.06</v>
      </c>
      <c r="D27" s="10">
        <v>135.47999999999999</v>
      </c>
      <c r="E27" s="10">
        <v>11.96</v>
      </c>
      <c r="F27" s="10">
        <v>0</v>
      </c>
      <c r="G27" s="10">
        <v>0</v>
      </c>
      <c r="H27" s="10">
        <v>300</v>
      </c>
      <c r="I27" s="10">
        <f t="shared" si="7"/>
        <v>300</v>
      </c>
    </row>
    <row r="28" spans="1:9" x14ac:dyDescent="0.2">
      <c r="A28" t="s">
        <v>594</v>
      </c>
      <c r="B28" s="125" t="s">
        <v>1968</v>
      </c>
      <c r="C28" s="10">
        <v>64655.15</v>
      </c>
      <c r="D28" s="10">
        <v>39008.68</v>
      </c>
      <c r="E28" s="10">
        <v>31355.439999999999</v>
      </c>
      <c r="F28" s="10">
        <v>48542.14</v>
      </c>
      <c r="G28" s="10">
        <v>110018.49</v>
      </c>
      <c r="H28" s="10">
        <v>90000</v>
      </c>
      <c r="I28" s="10">
        <v>60000</v>
      </c>
    </row>
    <row r="29" spans="1:9" x14ac:dyDescent="0.2">
      <c r="A29" t="s">
        <v>1669</v>
      </c>
      <c r="B29" s="125" t="s">
        <v>1936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f t="shared" si="7"/>
        <v>0</v>
      </c>
    </row>
    <row r="30" spans="1:9" x14ac:dyDescent="0.2">
      <c r="A30" t="s">
        <v>595</v>
      </c>
      <c r="B30" s="125" t="s">
        <v>1898</v>
      </c>
      <c r="C30" s="10">
        <v>306.11</v>
      </c>
      <c r="D30" s="10">
        <v>209.2</v>
      </c>
      <c r="E30" s="10">
        <v>116.84</v>
      </c>
      <c r="F30" s="10">
        <v>0</v>
      </c>
      <c r="G30" s="10">
        <v>0</v>
      </c>
      <c r="H30" s="10">
        <v>500</v>
      </c>
      <c r="I30" s="10">
        <f t="shared" si="7"/>
        <v>500</v>
      </c>
    </row>
    <row r="31" spans="1:9" x14ac:dyDescent="0.2">
      <c r="A31" t="s">
        <v>596</v>
      </c>
      <c r="B31" s="125" t="s">
        <v>1993</v>
      </c>
      <c r="C31" s="10">
        <v>16254.19</v>
      </c>
      <c r="D31" s="10">
        <v>15455.79</v>
      </c>
      <c r="E31" s="10">
        <v>16257.8</v>
      </c>
      <c r="F31" s="10">
        <v>17613.66</v>
      </c>
      <c r="G31" s="10">
        <v>19748.11</v>
      </c>
      <c r="H31" s="10">
        <v>18000</v>
      </c>
      <c r="I31" s="10">
        <v>20000</v>
      </c>
    </row>
    <row r="32" spans="1:9" x14ac:dyDescent="0.2">
      <c r="A32" t="s">
        <v>408</v>
      </c>
      <c r="B32" s="125" t="s">
        <v>2121</v>
      </c>
      <c r="C32" s="10">
        <v>3090.54</v>
      </c>
      <c r="D32" s="10">
        <v>1212</v>
      </c>
      <c r="E32" s="10">
        <v>965.27</v>
      </c>
      <c r="F32" s="10">
        <v>5669.07</v>
      </c>
      <c r="G32" s="10">
        <v>5174.01</v>
      </c>
      <c r="H32" s="10">
        <v>4000</v>
      </c>
      <c r="I32" s="10">
        <v>5750</v>
      </c>
    </row>
    <row r="33" spans="1:9" x14ac:dyDescent="0.2">
      <c r="A33" s="5" t="s">
        <v>1692</v>
      </c>
      <c r="B33" s="126" t="s">
        <v>1922</v>
      </c>
      <c r="C33" s="10">
        <v>0</v>
      </c>
      <c r="D33" s="10">
        <v>205</v>
      </c>
      <c r="E33" s="10">
        <v>0</v>
      </c>
      <c r="F33" s="10">
        <v>9000</v>
      </c>
      <c r="G33" s="10">
        <v>74500</v>
      </c>
      <c r="H33" s="10">
        <v>3000</v>
      </c>
      <c r="I33" s="10">
        <v>9000</v>
      </c>
    </row>
    <row r="34" spans="1:9" x14ac:dyDescent="0.2">
      <c r="A34" t="s">
        <v>597</v>
      </c>
      <c r="B34" s="125" t="s">
        <v>2122</v>
      </c>
      <c r="C34" s="10">
        <v>1064.48</v>
      </c>
      <c r="D34" s="10">
        <v>1302.5899999999999</v>
      </c>
      <c r="E34" s="10">
        <v>162.69999999999999</v>
      </c>
      <c r="F34" s="10">
        <v>1538.45</v>
      </c>
      <c r="G34" s="10">
        <v>1166.92</v>
      </c>
      <c r="H34" s="10">
        <v>1500</v>
      </c>
      <c r="I34" s="10">
        <v>2500</v>
      </c>
    </row>
    <row r="35" spans="1:9" x14ac:dyDescent="0.2">
      <c r="A35" t="s">
        <v>598</v>
      </c>
      <c r="B35" s="125" t="s">
        <v>2123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0">
        <v>0</v>
      </c>
      <c r="I35" s="10">
        <v>0</v>
      </c>
    </row>
    <row r="36" spans="1:9" x14ac:dyDescent="0.2">
      <c r="A36" s="39" t="s">
        <v>2400</v>
      </c>
      <c r="B36" s="126" t="s">
        <v>2084</v>
      </c>
      <c r="C36" s="17">
        <v>0</v>
      </c>
      <c r="D36" s="17">
        <v>0</v>
      </c>
      <c r="E36" s="17">
        <v>0</v>
      </c>
      <c r="F36" s="17">
        <v>0</v>
      </c>
      <c r="G36" s="17">
        <v>32002.95</v>
      </c>
      <c r="H36" s="10">
        <v>35000</v>
      </c>
      <c r="I36" s="10">
        <v>80000</v>
      </c>
    </row>
    <row r="37" spans="1:9" x14ac:dyDescent="0.2">
      <c r="A37" t="s">
        <v>599</v>
      </c>
      <c r="B37" s="125" t="s">
        <v>2124</v>
      </c>
      <c r="C37" s="17">
        <v>17502.189999999999</v>
      </c>
      <c r="D37" s="17">
        <v>73254.86</v>
      </c>
      <c r="E37" s="17">
        <v>80872.03</v>
      </c>
      <c r="F37" s="17">
        <v>12868.32</v>
      </c>
      <c r="G37" s="17">
        <v>33548.199999999997</v>
      </c>
      <c r="H37" s="10">
        <v>154000</v>
      </c>
      <c r="I37" s="10">
        <v>100000</v>
      </c>
    </row>
    <row r="38" spans="1:9" x14ac:dyDescent="0.2">
      <c r="A38" t="s">
        <v>600</v>
      </c>
      <c r="B38" s="125" t="s">
        <v>1900</v>
      </c>
      <c r="C38" s="12">
        <v>2369.7600000000002</v>
      </c>
      <c r="D38" s="12">
        <v>0</v>
      </c>
      <c r="E38" s="12">
        <v>0</v>
      </c>
      <c r="F38" s="12">
        <v>0</v>
      </c>
      <c r="G38" s="12">
        <v>1315</v>
      </c>
      <c r="H38" s="12">
        <v>0</v>
      </c>
      <c r="I38" s="12">
        <v>0</v>
      </c>
    </row>
    <row r="39" spans="1:9" ht="13.5" thickBot="1" x14ac:dyDescent="0.25">
      <c r="B39" s="6" t="s">
        <v>1341</v>
      </c>
      <c r="C39" s="36">
        <f t="shared" ref="C39:G39" si="8">SUM(C24:C38)</f>
        <v>136129.60000000001</v>
      </c>
      <c r="D39" s="36">
        <f t="shared" si="8"/>
        <v>161194.71999999997</v>
      </c>
      <c r="E39" s="36">
        <f t="shared" si="8"/>
        <v>159822.91999999998</v>
      </c>
      <c r="F39" s="36">
        <f t="shared" si="8"/>
        <v>125395.54999999999</v>
      </c>
      <c r="G39" s="36">
        <f t="shared" si="8"/>
        <v>307641.65000000002</v>
      </c>
      <c r="H39" s="36">
        <f t="shared" ref="H39:I39" si="9">SUM(H24:H38)</f>
        <v>337100</v>
      </c>
      <c r="I39" s="36">
        <f t="shared" si="9"/>
        <v>308850</v>
      </c>
    </row>
    <row r="40" spans="1:9" ht="13.5" thickTop="1" x14ac:dyDescent="0.2">
      <c r="B40" s="6"/>
      <c r="C40" s="10"/>
      <c r="D40" s="10"/>
      <c r="E40" s="10"/>
      <c r="F40" s="10"/>
      <c r="G40" s="10"/>
      <c r="H40" s="10"/>
      <c r="I40" s="10"/>
    </row>
    <row r="41" spans="1:9" x14ac:dyDescent="0.2">
      <c r="B41" s="4" t="s">
        <v>653</v>
      </c>
      <c r="C41" s="10"/>
      <c r="D41" s="10"/>
      <c r="E41" s="10"/>
      <c r="F41" s="10"/>
      <c r="G41" s="10"/>
      <c r="H41" s="10"/>
      <c r="I41" s="10"/>
    </row>
    <row r="42" spans="1:9" x14ac:dyDescent="0.2">
      <c r="B42" s="4" t="s">
        <v>584</v>
      </c>
      <c r="C42" s="10"/>
      <c r="D42" s="10"/>
      <c r="E42" s="10"/>
      <c r="F42" s="10"/>
      <c r="G42" s="10"/>
      <c r="H42" s="10"/>
      <c r="I42" s="10"/>
    </row>
    <row r="43" spans="1:9" x14ac:dyDescent="0.2">
      <c r="B43" s="20" t="s">
        <v>1343</v>
      </c>
      <c r="C43" s="10"/>
      <c r="D43" s="10"/>
      <c r="E43" s="10"/>
      <c r="F43" s="10"/>
      <c r="G43" s="10"/>
      <c r="H43" s="10"/>
      <c r="I43" s="10"/>
    </row>
    <row r="44" spans="1:9" x14ac:dyDescent="0.2">
      <c r="C44" s="129" t="str">
        <f t="shared" ref="C44:G44" si="10">+C4</f>
        <v>2018 ACTUAL</v>
      </c>
      <c r="D44" s="129" t="str">
        <f t="shared" si="10"/>
        <v>2019 ACTUAL</v>
      </c>
      <c r="E44" s="129" t="str">
        <f t="shared" si="10"/>
        <v>2020 ACTUAL</v>
      </c>
      <c r="F44" s="129" t="str">
        <f t="shared" si="10"/>
        <v>2021 ACTUAL</v>
      </c>
      <c r="G44" s="129" t="str">
        <f t="shared" si="10"/>
        <v>2022 ACTUAL</v>
      </c>
      <c r="H44" s="129" t="str">
        <f t="shared" ref="H44:I44" si="11">+H4</f>
        <v xml:space="preserve">2023 BUDGET </v>
      </c>
      <c r="I44" s="129" t="str">
        <f t="shared" si="11"/>
        <v xml:space="preserve">2024 BUDGET </v>
      </c>
    </row>
    <row r="45" spans="1:9" x14ac:dyDescent="0.2">
      <c r="C45" s="112"/>
      <c r="D45" s="112"/>
      <c r="E45" s="112"/>
      <c r="F45" s="112"/>
      <c r="G45" s="112"/>
      <c r="H45" s="112"/>
      <c r="I45" s="112"/>
    </row>
    <row r="46" spans="1:9" x14ac:dyDescent="0.2">
      <c r="B46" t="s">
        <v>1344</v>
      </c>
      <c r="C46" s="10">
        <f>218604-0.29</f>
        <v>218603.71</v>
      </c>
      <c r="D46" s="10">
        <f t="shared" ref="D46:I46" si="12">C54</f>
        <v>233999.58</v>
      </c>
      <c r="E46" s="10">
        <f t="shared" si="12"/>
        <v>258956.58999999997</v>
      </c>
      <c r="F46" s="10">
        <f t="shared" si="12"/>
        <v>255341.38</v>
      </c>
      <c r="G46" s="10">
        <f t="shared" si="12"/>
        <v>341102.61000000004</v>
      </c>
      <c r="H46" s="10">
        <f t="shared" si="12"/>
        <v>317423.32999999996</v>
      </c>
      <c r="I46" s="10">
        <f t="shared" si="12"/>
        <v>320565.74556277401</v>
      </c>
    </row>
    <row r="47" spans="1:9" x14ac:dyDescent="0.2">
      <c r="C47" s="10"/>
      <c r="D47" s="10"/>
      <c r="E47" s="10"/>
      <c r="F47" s="10"/>
      <c r="G47" s="10"/>
      <c r="H47" s="10"/>
      <c r="I47" s="10"/>
    </row>
    <row r="48" spans="1:9" x14ac:dyDescent="0.2">
      <c r="B48" t="s">
        <v>113</v>
      </c>
      <c r="C48" s="10">
        <f t="shared" ref="C48:G48" si="13">C21</f>
        <v>151525.47</v>
      </c>
      <c r="D48" s="10">
        <f t="shared" si="13"/>
        <v>186151.72999999998</v>
      </c>
      <c r="E48" s="10">
        <f t="shared" si="13"/>
        <v>156207.71000000002</v>
      </c>
      <c r="F48" s="10">
        <f t="shared" si="13"/>
        <v>211156.78000000003</v>
      </c>
      <c r="G48" s="10">
        <f t="shared" si="13"/>
        <v>283962.37</v>
      </c>
      <c r="H48" s="10">
        <f t="shared" ref="H48:I48" si="14">H21</f>
        <v>340242.41556277405</v>
      </c>
      <c r="I48" s="10">
        <f t="shared" si="14"/>
        <v>373166.75005416817</v>
      </c>
    </row>
    <row r="49" spans="2:9" x14ac:dyDescent="0.2">
      <c r="C49" s="10"/>
      <c r="D49" s="10"/>
      <c r="E49" s="10"/>
      <c r="F49" s="10"/>
      <c r="G49" s="10"/>
      <c r="H49" s="10"/>
      <c r="I49" s="10"/>
    </row>
    <row r="50" spans="2:9" x14ac:dyDescent="0.2">
      <c r="B50" t="s">
        <v>1427</v>
      </c>
      <c r="C50" s="10">
        <f t="shared" ref="C50:G50" si="15">C39</f>
        <v>136129.60000000001</v>
      </c>
      <c r="D50" s="10">
        <f t="shared" si="15"/>
        <v>161194.71999999997</v>
      </c>
      <c r="E50" s="10">
        <f t="shared" si="15"/>
        <v>159822.91999999998</v>
      </c>
      <c r="F50" s="10">
        <f t="shared" si="15"/>
        <v>125395.54999999999</v>
      </c>
      <c r="G50" s="10">
        <f t="shared" si="15"/>
        <v>307641.65000000002</v>
      </c>
      <c r="H50" s="10">
        <f t="shared" ref="H50:I50" si="16">H39</f>
        <v>337100</v>
      </c>
      <c r="I50" s="10">
        <f t="shared" si="16"/>
        <v>308850</v>
      </c>
    </row>
    <row r="51" spans="2:9" x14ac:dyDescent="0.2">
      <c r="C51" s="10"/>
      <c r="D51" s="10"/>
      <c r="E51" s="10"/>
      <c r="F51" s="10"/>
      <c r="G51" s="10"/>
      <c r="H51" s="10"/>
      <c r="I51" s="10"/>
    </row>
    <row r="52" spans="2:9" x14ac:dyDescent="0.2">
      <c r="B52" t="s">
        <v>1347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</row>
    <row r="53" spans="2:9" x14ac:dyDescent="0.2">
      <c r="C53" s="10"/>
      <c r="D53" s="10"/>
      <c r="E53" s="10"/>
      <c r="F53" s="10"/>
      <c r="G53" s="10"/>
      <c r="H53" s="10"/>
      <c r="I53" s="10"/>
    </row>
    <row r="54" spans="2:9" ht="13.5" thickBot="1" x14ac:dyDescent="0.25">
      <c r="B54" t="s">
        <v>1348</v>
      </c>
      <c r="C54" s="36">
        <f t="shared" ref="C54:G54" si="17">C46+C48-C50+C52</f>
        <v>233999.58</v>
      </c>
      <c r="D54" s="36">
        <f t="shared" si="17"/>
        <v>258956.58999999997</v>
      </c>
      <c r="E54" s="36">
        <f t="shared" si="17"/>
        <v>255341.38</v>
      </c>
      <c r="F54" s="36">
        <f t="shared" si="17"/>
        <v>341102.61000000004</v>
      </c>
      <c r="G54" s="36">
        <f t="shared" si="17"/>
        <v>317423.32999999996</v>
      </c>
      <c r="H54" s="36">
        <f t="shared" ref="H54:I54" si="18">H46+H48-H50+H52</f>
        <v>320565.74556277401</v>
      </c>
      <c r="I54" s="36">
        <f t="shared" si="18"/>
        <v>384882.49561694218</v>
      </c>
    </row>
    <row r="55" spans="2:9" ht="13.5" thickTop="1" x14ac:dyDescent="0.2"/>
    <row r="56" spans="2:9" x14ac:dyDescent="0.2">
      <c r="C56" s="10"/>
      <c r="D56" s="137"/>
      <c r="E56" s="115"/>
      <c r="G56" s="10"/>
    </row>
    <row r="135" spans="3:7" x14ac:dyDescent="0.2">
      <c r="C135" s="9"/>
      <c r="D135" s="9"/>
      <c r="E135" s="9"/>
      <c r="F135" s="9"/>
      <c r="G135" s="9"/>
    </row>
  </sheetData>
  <phoneticPr fontId="2" type="noConversion"/>
  <pageMargins left="0.5" right="0.5" top="1" bottom="1" header="0.5" footer="0.5"/>
  <pageSetup scale="77" firstPageNumber="28" fitToHeight="0" orientation="portrait" useFirstPageNumber="1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125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3.285156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t="s">
        <v>1433</v>
      </c>
      <c r="B1" s="4" t="s">
        <v>653</v>
      </c>
    </row>
    <row r="2" spans="1:9" x14ac:dyDescent="0.2">
      <c r="B2" s="4" t="s">
        <v>603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3" spans="1:9" x14ac:dyDescent="0.2"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9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204" t="s">
        <v>2494</v>
      </c>
      <c r="B5" s="4" t="s">
        <v>313</v>
      </c>
    </row>
    <row r="6" spans="1:9" x14ac:dyDescent="0.2">
      <c r="A6" t="s">
        <v>1526</v>
      </c>
      <c r="B6" s="126" t="s">
        <v>2125</v>
      </c>
      <c r="C6" s="10">
        <v>10544.94</v>
      </c>
      <c r="D6" s="10">
        <v>13996.31</v>
      </c>
      <c r="E6" s="10">
        <v>20593.68</v>
      </c>
      <c r="F6" s="10">
        <v>15659.35</v>
      </c>
      <c r="G6" s="10">
        <v>18866.39</v>
      </c>
      <c r="H6" s="10">
        <v>16000</v>
      </c>
      <c r="I6" s="10">
        <v>17000</v>
      </c>
    </row>
    <row r="7" spans="1:9" x14ac:dyDescent="0.2">
      <c r="A7" t="s">
        <v>1367</v>
      </c>
      <c r="B7" s="125" t="s">
        <v>1761</v>
      </c>
      <c r="C7" s="10">
        <v>1199.72</v>
      </c>
      <c r="D7" s="10">
        <v>1420.33</v>
      </c>
      <c r="E7" s="10">
        <v>782.98</v>
      </c>
      <c r="F7" s="10">
        <v>302.51</v>
      </c>
      <c r="G7" s="10">
        <v>701.97</v>
      </c>
      <c r="H7" s="10">
        <v>50</v>
      </c>
      <c r="I7" s="10">
        <v>2000</v>
      </c>
    </row>
    <row r="8" spans="1:9" x14ac:dyDescent="0.2">
      <c r="A8" t="s">
        <v>1366</v>
      </c>
      <c r="B8" s="125" t="s">
        <v>2126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0">
        <f t="shared" ref="H8:I8" si="0">+G8</f>
        <v>0</v>
      </c>
      <c r="I8" s="10">
        <f t="shared" si="0"/>
        <v>0</v>
      </c>
    </row>
    <row r="9" spans="1:9" ht="13.5" thickBot="1" x14ac:dyDescent="0.25">
      <c r="B9" s="6" t="s">
        <v>137</v>
      </c>
      <c r="C9" s="36">
        <f t="shared" ref="C9:G9" si="1">SUM(C6:C8)</f>
        <v>11744.66</v>
      </c>
      <c r="D9" s="36">
        <f t="shared" si="1"/>
        <v>15416.64</v>
      </c>
      <c r="E9" s="36">
        <f t="shared" si="1"/>
        <v>21376.66</v>
      </c>
      <c r="F9" s="36">
        <f t="shared" si="1"/>
        <v>15961.86</v>
      </c>
      <c r="G9" s="36">
        <f t="shared" si="1"/>
        <v>19568.36</v>
      </c>
      <c r="H9" s="135">
        <f t="shared" ref="H9:I9" si="2">SUM(H6:H8)</f>
        <v>16050</v>
      </c>
      <c r="I9" s="135">
        <f t="shared" si="2"/>
        <v>19000</v>
      </c>
    </row>
    <row r="10" spans="1:9" ht="13.5" thickTop="1" x14ac:dyDescent="0.2">
      <c r="A10" t="s">
        <v>1433</v>
      </c>
      <c r="C10" s="10"/>
      <c r="D10" s="10"/>
      <c r="E10" s="10"/>
      <c r="F10" s="10"/>
      <c r="G10" s="10"/>
      <c r="H10" s="10"/>
      <c r="I10" s="10"/>
    </row>
    <row r="11" spans="1:9" x14ac:dyDescent="0.2">
      <c r="A11" t="s">
        <v>1433</v>
      </c>
      <c r="C11" s="10"/>
      <c r="D11" s="10"/>
      <c r="E11" s="10"/>
      <c r="F11" s="10"/>
      <c r="G11" s="10"/>
      <c r="H11" s="10"/>
      <c r="I11" s="10"/>
    </row>
    <row r="12" spans="1:9" x14ac:dyDescent="0.2">
      <c r="A12" s="203">
        <v>260.49900000000002</v>
      </c>
      <c r="B12" s="4" t="s">
        <v>861</v>
      </c>
      <c r="C12" s="10"/>
      <c r="D12" s="10"/>
      <c r="E12" s="10"/>
      <c r="F12" s="10"/>
      <c r="G12" s="10"/>
      <c r="H12" s="10"/>
      <c r="I12" s="10"/>
    </row>
    <row r="13" spans="1:9" x14ac:dyDescent="0.2">
      <c r="A13" t="s">
        <v>2554</v>
      </c>
      <c r="B13" s="126" t="s">
        <v>2555</v>
      </c>
      <c r="C13" s="10"/>
      <c r="D13" s="10">
        <v>0</v>
      </c>
      <c r="E13" s="10">
        <v>0</v>
      </c>
      <c r="F13" s="10">
        <v>0</v>
      </c>
      <c r="G13" s="10">
        <v>1270.03</v>
      </c>
      <c r="H13" s="10">
        <v>0</v>
      </c>
      <c r="I13" s="10">
        <v>0</v>
      </c>
    </row>
    <row r="14" spans="1:9" x14ac:dyDescent="0.2">
      <c r="A14" t="s">
        <v>601</v>
      </c>
      <c r="B14" s="126" t="s">
        <v>1898</v>
      </c>
      <c r="C14" s="10">
        <v>0</v>
      </c>
      <c r="D14" s="10">
        <v>0</v>
      </c>
      <c r="E14" s="10">
        <v>1193.81</v>
      </c>
      <c r="F14" s="10">
        <v>654</v>
      </c>
      <c r="G14" s="10">
        <v>0</v>
      </c>
      <c r="H14" s="10">
        <v>5000</v>
      </c>
      <c r="I14" s="10">
        <f t="shared" ref="I14" si="3">+H14</f>
        <v>5000</v>
      </c>
    </row>
    <row r="15" spans="1:9" x14ac:dyDescent="0.2">
      <c r="A15" t="s">
        <v>602</v>
      </c>
      <c r="B15" s="125" t="s">
        <v>1900</v>
      </c>
      <c r="C15" s="12">
        <v>3465.34</v>
      </c>
      <c r="D15" s="10">
        <v>5153.37</v>
      </c>
      <c r="E15" s="12">
        <v>4982.58</v>
      </c>
      <c r="F15" s="12">
        <v>5503.25</v>
      </c>
      <c r="G15" s="12">
        <v>9194.1200000000008</v>
      </c>
      <c r="H15" s="10">
        <v>11000</v>
      </c>
      <c r="I15" s="10">
        <v>10000</v>
      </c>
    </row>
    <row r="16" spans="1:9" ht="13.5" thickBot="1" x14ac:dyDescent="0.25">
      <c r="B16" s="6" t="s">
        <v>1341</v>
      </c>
      <c r="C16" s="36">
        <f t="shared" ref="C16" si="4">SUM(C14:C15)</f>
        <v>3465.34</v>
      </c>
      <c r="D16" s="135">
        <f t="shared" ref="D16:F16" si="5">SUM(D13:D15)</f>
        <v>5153.37</v>
      </c>
      <c r="E16" s="36">
        <f t="shared" si="5"/>
        <v>6176.3899999999994</v>
      </c>
      <c r="F16" s="36">
        <f t="shared" si="5"/>
        <v>6157.25</v>
      </c>
      <c r="G16" s="36">
        <f>SUM(G13:G15)</f>
        <v>10464.150000000001</v>
      </c>
      <c r="H16" s="135">
        <f t="shared" ref="H16:I16" si="6">SUM(H13:H15)</f>
        <v>16000</v>
      </c>
      <c r="I16" s="135">
        <f t="shared" si="6"/>
        <v>15000</v>
      </c>
    </row>
    <row r="17" spans="1:9" ht="13.5" thickTop="1" x14ac:dyDescent="0.2">
      <c r="B17" s="6"/>
      <c r="C17" s="10"/>
      <c r="D17" s="10"/>
      <c r="E17" s="10"/>
      <c r="F17" s="10"/>
      <c r="G17" s="10"/>
      <c r="H17" s="10"/>
      <c r="I17" s="10"/>
    </row>
    <row r="18" spans="1:9" x14ac:dyDescent="0.2">
      <c r="B18" s="6"/>
      <c r="C18" s="10"/>
      <c r="D18" s="10"/>
      <c r="E18" s="10"/>
      <c r="F18" s="10"/>
      <c r="G18" s="10"/>
      <c r="H18" s="10"/>
      <c r="I18" s="10"/>
    </row>
    <row r="19" spans="1:9" x14ac:dyDescent="0.2">
      <c r="B19" s="4" t="s">
        <v>653</v>
      </c>
      <c r="C19" s="112" t="s">
        <v>1433</v>
      </c>
      <c r="D19" s="112" t="s">
        <v>1433</v>
      </c>
      <c r="E19" s="112" t="s">
        <v>1433</v>
      </c>
      <c r="F19" s="112" t="s">
        <v>1433</v>
      </c>
      <c r="G19" s="112" t="s">
        <v>1433</v>
      </c>
      <c r="H19" s="112" t="s">
        <v>1433</v>
      </c>
      <c r="I19" s="112" t="s">
        <v>1433</v>
      </c>
    </row>
    <row r="20" spans="1:9" x14ac:dyDescent="0.2">
      <c r="B20" s="4" t="s">
        <v>603</v>
      </c>
      <c r="C20" s="112" t="s">
        <v>1433</v>
      </c>
      <c r="D20" s="112" t="s">
        <v>1433</v>
      </c>
      <c r="E20" s="112" t="s">
        <v>1433</v>
      </c>
      <c r="F20" s="112" t="s">
        <v>1433</v>
      </c>
      <c r="G20" s="112" t="s">
        <v>1433</v>
      </c>
      <c r="H20" s="112" t="s">
        <v>1433</v>
      </c>
      <c r="I20" s="112" t="s">
        <v>1433</v>
      </c>
    </row>
    <row r="21" spans="1:9" x14ac:dyDescent="0.2">
      <c r="A21" t="s">
        <v>1433</v>
      </c>
      <c r="B21" s="4" t="s">
        <v>1343</v>
      </c>
      <c r="C21" s="112" t="s">
        <v>1433</v>
      </c>
      <c r="D21" s="112" t="s">
        <v>1433</v>
      </c>
      <c r="E21" s="112" t="s">
        <v>1433</v>
      </c>
      <c r="F21" s="112" t="s">
        <v>1433</v>
      </c>
      <c r="G21" s="112" t="s">
        <v>1433</v>
      </c>
      <c r="H21" s="112" t="s">
        <v>1433</v>
      </c>
      <c r="I21" s="112" t="s">
        <v>1433</v>
      </c>
    </row>
    <row r="22" spans="1:9" x14ac:dyDescent="0.2">
      <c r="A22" t="s">
        <v>1433</v>
      </c>
      <c r="C22" s="129" t="str">
        <f t="shared" ref="C22:G22" si="7">+C4</f>
        <v>2018 ACTUAL</v>
      </c>
      <c r="D22" s="129" t="str">
        <f t="shared" si="7"/>
        <v>2019 ACTUAL</v>
      </c>
      <c r="E22" s="129" t="str">
        <f t="shared" si="7"/>
        <v>2020 ACTUAL</v>
      </c>
      <c r="F22" s="129" t="str">
        <f t="shared" si="7"/>
        <v>2021 ACTUAL</v>
      </c>
      <c r="G22" s="129" t="str">
        <f t="shared" si="7"/>
        <v>2022 ACTUAL</v>
      </c>
      <c r="H22" s="129" t="str">
        <f t="shared" ref="H22:I22" si="8">+H4</f>
        <v xml:space="preserve">2023 BUDGET </v>
      </c>
      <c r="I22" s="129" t="str">
        <f t="shared" si="8"/>
        <v xml:space="preserve">2024 BUDGET </v>
      </c>
    </row>
    <row r="23" spans="1:9" x14ac:dyDescent="0.2">
      <c r="A23" t="s">
        <v>1433</v>
      </c>
      <c r="C23" s="112"/>
      <c r="D23" s="112"/>
      <c r="E23" s="112"/>
      <c r="F23" s="112"/>
      <c r="G23" s="112"/>
      <c r="H23" s="112"/>
      <c r="I23" s="112"/>
    </row>
    <row r="24" spans="1:9" x14ac:dyDescent="0.2">
      <c r="A24" t="s">
        <v>1433</v>
      </c>
      <c r="B24" t="s">
        <v>1344</v>
      </c>
      <c r="C24" s="10">
        <f>99354-0.1</f>
        <v>99353.9</v>
      </c>
      <c r="D24" s="10">
        <f t="shared" ref="D24:I24" si="9">C32</f>
        <v>107633.22</v>
      </c>
      <c r="E24" s="10">
        <f t="shared" si="9"/>
        <v>117896.49</v>
      </c>
      <c r="F24" s="10">
        <f t="shared" si="9"/>
        <v>133096.76</v>
      </c>
      <c r="G24" s="10">
        <f t="shared" si="9"/>
        <v>142901.37</v>
      </c>
      <c r="H24" s="10">
        <f t="shared" si="9"/>
        <v>152005.57999999999</v>
      </c>
      <c r="I24" s="10">
        <f t="shared" si="9"/>
        <v>152055.57999999999</v>
      </c>
    </row>
    <row r="25" spans="1:9" x14ac:dyDescent="0.2">
      <c r="C25" s="10"/>
      <c r="D25" s="10"/>
      <c r="E25" s="10"/>
      <c r="F25" s="10"/>
      <c r="G25" s="10"/>
      <c r="H25" s="10"/>
      <c r="I25" s="10"/>
    </row>
    <row r="26" spans="1:9" x14ac:dyDescent="0.2">
      <c r="B26" t="s">
        <v>113</v>
      </c>
      <c r="C26" s="10">
        <f t="shared" ref="C26:G26" si="10">C9</f>
        <v>11744.66</v>
      </c>
      <c r="D26" s="10">
        <f t="shared" si="10"/>
        <v>15416.64</v>
      </c>
      <c r="E26" s="10">
        <f t="shared" si="10"/>
        <v>21376.66</v>
      </c>
      <c r="F26" s="10">
        <f t="shared" si="10"/>
        <v>15961.86</v>
      </c>
      <c r="G26" s="10">
        <f t="shared" si="10"/>
        <v>19568.36</v>
      </c>
      <c r="H26" s="10">
        <f t="shared" ref="H26:I26" si="11">H9</f>
        <v>16050</v>
      </c>
      <c r="I26" s="10">
        <f t="shared" si="11"/>
        <v>19000</v>
      </c>
    </row>
    <row r="27" spans="1:9" x14ac:dyDescent="0.2">
      <c r="C27" s="10"/>
      <c r="D27" s="10"/>
      <c r="E27" s="10"/>
      <c r="F27" s="10"/>
      <c r="G27" s="10"/>
      <c r="H27" s="10"/>
      <c r="I27" s="10"/>
    </row>
    <row r="28" spans="1:9" x14ac:dyDescent="0.2">
      <c r="B28" t="s">
        <v>1427</v>
      </c>
      <c r="C28" s="10">
        <f t="shared" ref="C28:G28" si="12">C16</f>
        <v>3465.34</v>
      </c>
      <c r="D28" s="10">
        <f t="shared" si="12"/>
        <v>5153.37</v>
      </c>
      <c r="E28" s="10">
        <f t="shared" si="12"/>
        <v>6176.3899999999994</v>
      </c>
      <c r="F28" s="10">
        <f t="shared" si="12"/>
        <v>6157.25</v>
      </c>
      <c r="G28" s="10">
        <f t="shared" si="12"/>
        <v>10464.150000000001</v>
      </c>
      <c r="H28" s="10">
        <f t="shared" ref="H28:I28" si="13">H16</f>
        <v>16000</v>
      </c>
      <c r="I28" s="10">
        <f t="shared" si="13"/>
        <v>15000</v>
      </c>
    </row>
    <row r="29" spans="1:9" x14ac:dyDescent="0.2">
      <c r="C29" s="10"/>
      <c r="D29" s="10"/>
      <c r="E29" s="10"/>
      <c r="F29" s="10"/>
      <c r="G29" s="10"/>
      <c r="H29" s="10"/>
      <c r="I29" s="10"/>
    </row>
    <row r="30" spans="1:9" x14ac:dyDescent="0.2">
      <c r="B30" t="s">
        <v>1347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x14ac:dyDescent="0.2">
      <c r="C31" s="10"/>
      <c r="D31" s="10"/>
      <c r="E31" s="10"/>
      <c r="F31" s="10"/>
      <c r="G31" s="10"/>
      <c r="H31" s="10"/>
      <c r="I31" s="10"/>
    </row>
    <row r="32" spans="1:9" ht="13.5" thickBot="1" x14ac:dyDescent="0.25">
      <c r="B32" t="s">
        <v>1348</v>
      </c>
      <c r="C32" s="36">
        <f t="shared" ref="C32:G32" si="14">C24+C26-C28+C30</f>
        <v>107633.22</v>
      </c>
      <c r="D32" s="36">
        <f t="shared" si="14"/>
        <v>117896.49</v>
      </c>
      <c r="E32" s="36">
        <f t="shared" si="14"/>
        <v>133096.76</v>
      </c>
      <c r="F32" s="36">
        <f t="shared" si="14"/>
        <v>142901.37</v>
      </c>
      <c r="G32" s="36">
        <f t="shared" si="14"/>
        <v>152005.57999999999</v>
      </c>
      <c r="H32" s="36">
        <f t="shared" ref="H32:I32" si="15">H24+H26-H28+H30</f>
        <v>152055.57999999999</v>
      </c>
      <c r="I32" s="36">
        <f t="shared" si="15"/>
        <v>156055.57999999999</v>
      </c>
    </row>
    <row r="33" spans="3:7" ht="13.5" thickTop="1" x14ac:dyDescent="0.2"/>
    <row r="34" spans="3:7" x14ac:dyDescent="0.2">
      <c r="D34" s="100"/>
      <c r="E34" s="115"/>
      <c r="G34" s="10"/>
    </row>
    <row r="35" spans="3:7" x14ac:dyDescent="0.2">
      <c r="C35" s="10"/>
    </row>
    <row r="36" spans="3:7" x14ac:dyDescent="0.2">
      <c r="C36" s="10"/>
    </row>
    <row r="125" spans="3:7" x14ac:dyDescent="0.2">
      <c r="C125" s="9"/>
      <c r="D125" s="9"/>
      <c r="E125" s="9"/>
      <c r="F125" s="9"/>
      <c r="G125" s="9"/>
    </row>
  </sheetData>
  <phoneticPr fontId="2" type="noConversion"/>
  <pageMargins left="0.5" right="0.5" top="1" bottom="1" header="0.5" footer="0.5"/>
  <pageSetup scale="77" firstPageNumber="29" fitToHeight="0" orientation="portrait" useFirstPageNumber="1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135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2.8554687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10" x14ac:dyDescent="0.2">
      <c r="A1" t="s">
        <v>1433</v>
      </c>
      <c r="B1" s="4" t="s">
        <v>653</v>
      </c>
    </row>
    <row r="2" spans="1:10" x14ac:dyDescent="0.2">
      <c r="B2" s="4" t="s">
        <v>1699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3" spans="1:10" x14ac:dyDescent="0.2"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10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10" x14ac:dyDescent="0.2">
      <c r="A5" s="202" t="s">
        <v>2464</v>
      </c>
      <c r="B5" s="4" t="s">
        <v>313</v>
      </c>
    </row>
    <row r="6" spans="1:10" x14ac:dyDescent="0.2">
      <c r="A6" t="s">
        <v>1698</v>
      </c>
      <c r="B6" s="126" t="s">
        <v>2127</v>
      </c>
      <c r="C6" s="10">
        <v>93877.5</v>
      </c>
      <c r="D6" s="10">
        <v>95464.5</v>
      </c>
      <c r="E6" s="10">
        <v>93478.5</v>
      </c>
      <c r="F6" s="10">
        <v>92262</v>
      </c>
      <c r="G6" s="10">
        <v>97873.5</v>
      </c>
      <c r="H6" s="10">
        <v>90000</v>
      </c>
      <c r="I6" s="10">
        <v>90000</v>
      </c>
    </row>
    <row r="7" spans="1:10" x14ac:dyDescent="0.2">
      <c r="A7" s="39" t="s">
        <v>1802</v>
      </c>
      <c r="B7" s="126" t="s">
        <v>1761</v>
      </c>
      <c r="C7" s="10">
        <v>287.19</v>
      </c>
      <c r="D7" s="10">
        <v>208.22</v>
      </c>
      <c r="E7" s="10">
        <v>180.75</v>
      </c>
      <c r="F7" s="10">
        <v>256.02999999999997</v>
      </c>
      <c r="G7" s="10">
        <v>205.37</v>
      </c>
      <c r="H7" s="10">
        <v>50</v>
      </c>
      <c r="I7" s="10">
        <v>1000</v>
      </c>
    </row>
    <row r="8" spans="1:10" ht="13.5" thickBot="1" x14ac:dyDescent="0.25">
      <c r="B8" s="6" t="s">
        <v>137</v>
      </c>
      <c r="C8" s="135">
        <f t="shared" ref="C8:E8" si="0">SUM(C6:C7)</f>
        <v>94164.69</v>
      </c>
      <c r="D8" s="135">
        <f t="shared" si="0"/>
        <v>95672.72</v>
      </c>
      <c r="E8" s="135">
        <f t="shared" si="0"/>
        <v>93659.25</v>
      </c>
      <c r="F8" s="135">
        <f t="shared" ref="F8:G8" si="1">SUM(F6:F7)</f>
        <v>92518.03</v>
      </c>
      <c r="G8" s="135">
        <f t="shared" si="1"/>
        <v>98078.87</v>
      </c>
      <c r="H8" s="135">
        <f t="shared" ref="H8:I8" si="2">SUM(H6:H7)</f>
        <v>90050</v>
      </c>
      <c r="I8" s="135">
        <f t="shared" si="2"/>
        <v>91000</v>
      </c>
    </row>
    <row r="9" spans="1:10" ht="13.5" thickTop="1" x14ac:dyDescent="0.2">
      <c r="A9" t="s">
        <v>1433</v>
      </c>
      <c r="C9" s="10"/>
      <c r="D9" s="10"/>
      <c r="E9" s="10"/>
      <c r="F9" s="10"/>
      <c r="G9" s="10"/>
      <c r="H9" s="10"/>
      <c r="I9" s="10"/>
    </row>
    <row r="10" spans="1:10" x14ac:dyDescent="0.2">
      <c r="A10" t="s">
        <v>1433</v>
      </c>
      <c r="C10" s="10"/>
      <c r="D10" s="10"/>
      <c r="E10" s="10"/>
      <c r="F10" s="10"/>
      <c r="G10" s="10"/>
      <c r="H10" s="10"/>
      <c r="I10" s="10"/>
    </row>
    <row r="11" spans="1:10" x14ac:dyDescent="0.2">
      <c r="A11" s="205">
        <v>270.69499999999999</v>
      </c>
      <c r="B11" s="4" t="s">
        <v>861</v>
      </c>
      <c r="C11" s="10"/>
      <c r="D11" s="10"/>
      <c r="E11" s="10"/>
      <c r="F11" s="10"/>
      <c r="G11" s="10"/>
      <c r="H11" s="10"/>
      <c r="I11" s="10"/>
      <c r="J11" s="39"/>
    </row>
    <row r="12" spans="1:10" x14ac:dyDescent="0.2">
      <c r="A12" s="53" t="s">
        <v>1783</v>
      </c>
      <c r="B12" s="126" t="s">
        <v>2128</v>
      </c>
      <c r="C12" s="10">
        <v>479.12</v>
      </c>
      <c r="D12" s="10">
        <v>484.65</v>
      </c>
      <c r="E12" s="10">
        <v>491.37</v>
      </c>
      <c r="F12" s="10">
        <v>511.01</v>
      </c>
      <c r="G12" s="10">
        <v>492.3</v>
      </c>
      <c r="H12" s="10">
        <v>498</v>
      </c>
      <c r="I12" s="10">
        <f>+H12</f>
        <v>498</v>
      </c>
    </row>
    <row r="13" spans="1:10" x14ac:dyDescent="0.2">
      <c r="A13" s="39" t="s">
        <v>1784</v>
      </c>
      <c r="B13" s="126" t="s">
        <v>2129</v>
      </c>
      <c r="C13" s="10">
        <v>2752.36</v>
      </c>
      <c r="D13" s="10">
        <v>2784.18</v>
      </c>
      <c r="E13" s="10">
        <v>2822.79</v>
      </c>
      <c r="F13" s="10">
        <v>2935.59</v>
      </c>
      <c r="G13" s="10">
        <v>3006.94</v>
      </c>
      <c r="H13" s="10">
        <v>2858</v>
      </c>
      <c r="I13" s="10">
        <f t="shared" ref="I13:I24" si="3">+H13</f>
        <v>2858</v>
      </c>
    </row>
    <row r="14" spans="1:10" x14ac:dyDescent="0.2">
      <c r="A14" s="39" t="s">
        <v>1785</v>
      </c>
      <c r="B14" s="126" t="s">
        <v>2130</v>
      </c>
      <c r="C14" s="10">
        <v>4557.96</v>
      </c>
      <c r="D14" s="10">
        <v>4610.6499999999996</v>
      </c>
      <c r="E14" s="10">
        <v>4674.58</v>
      </c>
      <c r="F14" s="10">
        <v>4861.3999999999996</v>
      </c>
      <c r="G14" s="10">
        <v>6162.13</v>
      </c>
      <c r="H14" s="10">
        <v>4733</v>
      </c>
      <c r="I14" s="10">
        <f t="shared" si="3"/>
        <v>4733</v>
      </c>
    </row>
    <row r="15" spans="1:10" x14ac:dyDescent="0.2">
      <c r="A15" s="39" t="s">
        <v>1786</v>
      </c>
      <c r="B15" s="126" t="s">
        <v>2131</v>
      </c>
      <c r="C15" s="10">
        <v>29974</v>
      </c>
      <c r="D15" s="10">
        <v>30320.44</v>
      </c>
      <c r="E15" s="10">
        <v>30740.92</v>
      </c>
      <c r="F15" s="10">
        <v>31969.43</v>
      </c>
      <c r="G15" s="10">
        <v>31500.14</v>
      </c>
      <c r="H15" s="10">
        <v>31128</v>
      </c>
      <c r="I15" s="10">
        <f t="shared" si="3"/>
        <v>31128</v>
      </c>
    </row>
    <row r="16" spans="1:10" x14ac:dyDescent="0.2">
      <c r="A16" s="39" t="s">
        <v>1787</v>
      </c>
      <c r="B16" s="126" t="s">
        <v>2132</v>
      </c>
      <c r="C16" s="10">
        <v>2382.83</v>
      </c>
      <c r="D16" s="10">
        <v>2410.37</v>
      </c>
      <c r="E16" s="10">
        <v>2443.8000000000002</v>
      </c>
      <c r="F16" s="10">
        <v>2541.46</v>
      </c>
      <c r="G16" s="10">
        <v>2695.06</v>
      </c>
      <c r="H16" s="10">
        <v>2475</v>
      </c>
      <c r="I16" s="10">
        <f t="shared" si="3"/>
        <v>2475</v>
      </c>
    </row>
    <row r="17" spans="1:9" x14ac:dyDescent="0.2">
      <c r="A17" s="39" t="s">
        <v>1788</v>
      </c>
      <c r="B17" s="126" t="s">
        <v>2133</v>
      </c>
      <c r="C17" s="10">
        <v>119.78</v>
      </c>
      <c r="D17" s="10">
        <v>121.16</v>
      </c>
      <c r="E17" s="10">
        <v>122.84</v>
      </c>
      <c r="F17" s="10">
        <v>127.75</v>
      </c>
      <c r="G17" s="10">
        <v>130.07</v>
      </c>
      <c r="H17" s="10">
        <v>124</v>
      </c>
      <c r="I17" s="10">
        <f t="shared" si="3"/>
        <v>124</v>
      </c>
    </row>
    <row r="18" spans="1:9" x14ac:dyDescent="0.2">
      <c r="A18" s="5" t="s">
        <v>1729</v>
      </c>
      <c r="B18" s="126" t="s">
        <v>2134</v>
      </c>
      <c r="C18" s="10">
        <v>5000</v>
      </c>
      <c r="D18" s="10">
        <v>5000</v>
      </c>
      <c r="E18" s="10">
        <v>5000</v>
      </c>
      <c r="F18" s="10">
        <v>5000</v>
      </c>
      <c r="G18" s="10">
        <v>5000</v>
      </c>
      <c r="H18" s="10">
        <v>5000</v>
      </c>
      <c r="I18" s="10">
        <f t="shared" si="3"/>
        <v>5000</v>
      </c>
    </row>
    <row r="19" spans="1:9" x14ac:dyDescent="0.2">
      <c r="A19" s="5" t="s">
        <v>1730</v>
      </c>
      <c r="B19" s="126" t="s">
        <v>2389</v>
      </c>
      <c r="C19" s="10">
        <v>5000</v>
      </c>
      <c r="D19" s="10">
        <v>5000</v>
      </c>
      <c r="E19" s="10">
        <v>5000</v>
      </c>
      <c r="F19" s="10">
        <v>5000</v>
      </c>
      <c r="G19" s="10">
        <v>5000</v>
      </c>
      <c r="H19" s="10">
        <v>5000</v>
      </c>
      <c r="I19" s="10">
        <f t="shared" si="3"/>
        <v>5000</v>
      </c>
    </row>
    <row r="20" spans="1:9" x14ac:dyDescent="0.2">
      <c r="A20" s="5" t="s">
        <v>1731</v>
      </c>
      <c r="B20" s="126" t="s">
        <v>1941</v>
      </c>
      <c r="C20" s="10">
        <v>2000</v>
      </c>
      <c r="D20" s="10">
        <v>2000</v>
      </c>
      <c r="E20" s="10">
        <v>2000</v>
      </c>
      <c r="F20" s="10">
        <v>2000</v>
      </c>
      <c r="G20" s="10">
        <v>2000</v>
      </c>
      <c r="H20" s="10">
        <v>2000</v>
      </c>
      <c r="I20" s="10">
        <v>3000</v>
      </c>
    </row>
    <row r="21" spans="1:9" x14ac:dyDescent="0.2">
      <c r="A21" s="5" t="s">
        <v>1732</v>
      </c>
      <c r="B21" s="126" t="s">
        <v>2136</v>
      </c>
      <c r="C21" s="10">
        <v>5500</v>
      </c>
      <c r="D21" s="10">
        <v>5500</v>
      </c>
      <c r="E21" s="10">
        <v>5500</v>
      </c>
      <c r="F21" s="10">
        <v>5500</v>
      </c>
      <c r="G21" s="10">
        <v>5500</v>
      </c>
      <c r="H21" s="10">
        <v>5500</v>
      </c>
      <c r="I21" s="10">
        <v>7500</v>
      </c>
    </row>
    <row r="22" spans="1:9" x14ac:dyDescent="0.2">
      <c r="A22" s="5" t="s">
        <v>1733</v>
      </c>
      <c r="B22" s="126" t="s">
        <v>2390</v>
      </c>
      <c r="C22" s="10">
        <v>1500</v>
      </c>
      <c r="D22" s="10">
        <v>1500</v>
      </c>
      <c r="E22" s="10">
        <v>1500</v>
      </c>
      <c r="F22" s="10">
        <v>1500</v>
      </c>
      <c r="G22" s="10">
        <v>2000</v>
      </c>
      <c r="H22" s="10">
        <v>2000</v>
      </c>
      <c r="I22" s="10">
        <f t="shared" si="3"/>
        <v>2000</v>
      </c>
    </row>
    <row r="23" spans="1:9" x14ac:dyDescent="0.2">
      <c r="A23" s="5" t="s">
        <v>1734</v>
      </c>
      <c r="B23" s="126" t="s">
        <v>2138</v>
      </c>
      <c r="C23" s="10">
        <v>10000</v>
      </c>
      <c r="D23" s="10">
        <v>10000</v>
      </c>
      <c r="E23" s="10">
        <v>10000</v>
      </c>
      <c r="F23" s="10">
        <v>10000</v>
      </c>
      <c r="G23" s="10">
        <v>10000</v>
      </c>
      <c r="H23" s="10">
        <v>10000</v>
      </c>
      <c r="I23" s="10">
        <v>12500</v>
      </c>
    </row>
    <row r="24" spans="1:9" x14ac:dyDescent="0.2">
      <c r="A24" s="5" t="s">
        <v>1735</v>
      </c>
      <c r="B24" s="126" t="s">
        <v>1944</v>
      </c>
      <c r="C24" s="10">
        <v>0</v>
      </c>
      <c r="D24" s="10">
        <v>16000</v>
      </c>
      <c r="E24" s="10">
        <v>16000</v>
      </c>
      <c r="F24" s="10">
        <v>16000</v>
      </c>
      <c r="G24" s="10">
        <v>16000</v>
      </c>
      <c r="H24" s="10">
        <v>16000</v>
      </c>
      <c r="I24" s="10">
        <f t="shared" si="3"/>
        <v>16000</v>
      </c>
    </row>
    <row r="25" spans="1:9" x14ac:dyDescent="0.2">
      <c r="A25" s="39" t="s">
        <v>1754</v>
      </c>
      <c r="B25" s="126" t="s">
        <v>2139</v>
      </c>
      <c r="C25" s="12">
        <v>7655.94</v>
      </c>
      <c r="D25" s="12">
        <v>8264.5400000000009</v>
      </c>
      <c r="E25" s="12">
        <v>9003.2000000000007</v>
      </c>
      <c r="F25" s="12">
        <v>9910.7999999999993</v>
      </c>
      <c r="G25" s="12">
        <v>10697.39</v>
      </c>
      <c r="H25" s="10">
        <v>9650</v>
      </c>
      <c r="I25" s="10">
        <v>9000</v>
      </c>
    </row>
    <row r="26" spans="1:9" ht="13.5" thickBot="1" x14ac:dyDescent="0.25">
      <c r="B26" s="6" t="s">
        <v>1341</v>
      </c>
      <c r="C26" s="36">
        <f t="shared" ref="C26:G26" si="4">SUM(C12:C25)</f>
        <v>76921.990000000005</v>
      </c>
      <c r="D26" s="36">
        <f t="shared" si="4"/>
        <v>93995.99000000002</v>
      </c>
      <c r="E26" s="36">
        <f t="shared" si="4"/>
        <v>95299.499999999985</v>
      </c>
      <c r="F26" s="36">
        <f t="shared" si="4"/>
        <v>97857.44</v>
      </c>
      <c r="G26" s="36">
        <f t="shared" si="4"/>
        <v>100184.03</v>
      </c>
      <c r="H26" s="135">
        <f t="shared" ref="H26:I26" si="5">SUM(H12:H25)</f>
        <v>96966</v>
      </c>
      <c r="I26" s="135">
        <f t="shared" si="5"/>
        <v>101816</v>
      </c>
    </row>
    <row r="27" spans="1:9" ht="13.5" thickTop="1" x14ac:dyDescent="0.2">
      <c r="B27" s="6"/>
      <c r="C27" s="10"/>
      <c r="D27" s="10"/>
      <c r="E27" s="10"/>
      <c r="F27" s="10"/>
      <c r="G27" s="10"/>
      <c r="H27" s="10"/>
      <c r="I27" s="10"/>
    </row>
    <row r="28" spans="1:9" x14ac:dyDescent="0.2">
      <c r="B28" s="6"/>
      <c r="C28" s="10"/>
      <c r="D28" s="10"/>
      <c r="E28" s="10"/>
      <c r="F28" s="10"/>
      <c r="G28" s="10"/>
      <c r="H28" s="10"/>
      <c r="I28" s="10"/>
    </row>
    <row r="29" spans="1:9" x14ac:dyDescent="0.2">
      <c r="B29" s="4" t="s">
        <v>653</v>
      </c>
      <c r="C29" s="112" t="s">
        <v>1433</v>
      </c>
      <c r="D29" s="112" t="s">
        <v>1433</v>
      </c>
      <c r="E29" s="112" t="s">
        <v>1433</v>
      </c>
      <c r="F29" s="112" t="s">
        <v>1433</v>
      </c>
      <c r="G29" s="112" t="s">
        <v>1433</v>
      </c>
      <c r="H29" s="112" t="s">
        <v>1433</v>
      </c>
      <c r="I29" s="112" t="s">
        <v>1433</v>
      </c>
    </row>
    <row r="30" spans="1:9" x14ac:dyDescent="0.2">
      <c r="B30" s="4" t="s">
        <v>1699</v>
      </c>
      <c r="C30" s="112" t="s">
        <v>1433</v>
      </c>
      <c r="D30" s="112" t="s">
        <v>1433</v>
      </c>
      <c r="E30" s="112" t="s">
        <v>1433</v>
      </c>
      <c r="F30" s="112" t="s">
        <v>1433</v>
      </c>
      <c r="G30" s="112" t="s">
        <v>1433</v>
      </c>
      <c r="H30" s="112" t="s">
        <v>1433</v>
      </c>
      <c r="I30" s="112" t="s">
        <v>1433</v>
      </c>
    </row>
    <row r="31" spans="1:9" x14ac:dyDescent="0.2">
      <c r="A31" t="s">
        <v>1433</v>
      </c>
      <c r="B31" s="4" t="s">
        <v>1343</v>
      </c>
      <c r="C31" s="112" t="s">
        <v>1433</v>
      </c>
      <c r="D31" s="112" t="s">
        <v>1433</v>
      </c>
      <c r="E31" s="112" t="s">
        <v>1433</v>
      </c>
      <c r="F31" s="112" t="s">
        <v>1433</v>
      </c>
      <c r="G31" s="112" t="s">
        <v>1433</v>
      </c>
      <c r="H31" s="112" t="s">
        <v>1433</v>
      </c>
      <c r="I31" s="112" t="s">
        <v>1433</v>
      </c>
    </row>
    <row r="32" spans="1:9" x14ac:dyDescent="0.2">
      <c r="A32" t="s">
        <v>1433</v>
      </c>
      <c r="C32" s="129" t="str">
        <f t="shared" ref="C32:G32" si="6">+C4</f>
        <v>2018 ACTUAL</v>
      </c>
      <c r="D32" s="129" t="str">
        <f t="shared" si="6"/>
        <v>2019 ACTUAL</v>
      </c>
      <c r="E32" s="129" t="str">
        <f t="shared" si="6"/>
        <v>2020 ACTUAL</v>
      </c>
      <c r="F32" s="129" t="str">
        <f t="shared" si="6"/>
        <v>2021 ACTUAL</v>
      </c>
      <c r="G32" s="129" t="str">
        <f t="shared" si="6"/>
        <v>2022 ACTUAL</v>
      </c>
      <c r="H32" s="129" t="str">
        <f t="shared" ref="H32:I32" si="7">+H4</f>
        <v xml:space="preserve">2023 BUDGET </v>
      </c>
      <c r="I32" s="129" t="str">
        <f t="shared" si="7"/>
        <v xml:space="preserve">2024 BUDGET </v>
      </c>
    </row>
    <row r="33" spans="1:9" x14ac:dyDescent="0.2">
      <c r="A33" t="s">
        <v>1433</v>
      </c>
      <c r="C33" s="112"/>
      <c r="D33" s="112"/>
      <c r="E33" s="112"/>
      <c r="F33" s="112"/>
      <c r="G33" s="112"/>
      <c r="H33" s="112"/>
      <c r="I33" s="112"/>
    </row>
    <row r="34" spans="1:9" x14ac:dyDescent="0.2">
      <c r="A34" t="s">
        <v>1433</v>
      </c>
      <c r="B34" t="s">
        <v>1344</v>
      </c>
      <c r="C34" s="10">
        <f>79809-0.28</f>
        <v>79808.72</v>
      </c>
      <c r="D34" s="10">
        <f t="shared" ref="D34:I34" si="8">C42</f>
        <v>97051.42</v>
      </c>
      <c r="E34" s="10">
        <f t="shared" si="8"/>
        <v>98728.15</v>
      </c>
      <c r="F34" s="10">
        <f t="shared" si="8"/>
        <v>97087.900000000009</v>
      </c>
      <c r="G34" s="10">
        <f t="shared" si="8"/>
        <v>91748.489999999991</v>
      </c>
      <c r="H34" s="10">
        <f t="shared" si="8"/>
        <v>89643.329999999987</v>
      </c>
      <c r="I34" s="10">
        <f t="shared" si="8"/>
        <v>82727.329999999987</v>
      </c>
    </row>
    <row r="35" spans="1:9" x14ac:dyDescent="0.2">
      <c r="C35" s="10"/>
      <c r="D35" s="10"/>
      <c r="E35" s="10"/>
      <c r="F35" s="10"/>
      <c r="G35" s="10"/>
      <c r="H35" s="10"/>
      <c r="I35" s="10"/>
    </row>
    <row r="36" spans="1:9" x14ac:dyDescent="0.2">
      <c r="B36" t="s">
        <v>113</v>
      </c>
      <c r="C36" s="10">
        <f t="shared" ref="C36:G36" si="9">C8</f>
        <v>94164.69</v>
      </c>
      <c r="D36" s="10">
        <f t="shared" si="9"/>
        <v>95672.72</v>
      </c>
      <c r="E36" s="10">
        <f t="shared" si="9"/>
        <v>93659.25</v>
      </c>
      <c r="F36" s="10">
        <f t="shared" si="9"/>
        <v>92518.03</v>
      </c>
      <c r="G36" s="10">
        <f t="shared" si="9"/>
        <v>98078.87</v>
      </c>
      <c r="H36" s="10">
        <f t="shared" ref="H36:I36" si="10">H8</f>
        <v>90050</v>
      </c>
      <c r="I36" s="10">
        <f t="shared" si="10"/>
        <v>91000</v>
      </c>
    </row>
    <row r="37" spans="1:9" x14ac:dyDescent="0.2">
      <c r="C37" s="10"/>
      <c r="D37" s="10"/>
      <c r="E37" s="10"/>
      <c r="F37" s="10"/>
      <c r="G37" s="10"/>
      <c r="H37" s="10"/>
      <c r="I37" s="10"/>
    </row>
    <row r="38" spans="1:9" x14ac:dyDescent="0.2">
      <c r="B38" t="s">
        <v>1427</v>
      </c>
      <c r="C38" s="10">
        <f t="shared" ref="C38:G38" si="11">C26</f>
        <v>76921.990000000005</v>
      </c>
      <c r="D38" s="10">
        <f t="shared" si="11"/>
        <v>93995.99000000002</v>
      </c>
      <c r="E38" s="10">
        <f t="shared" si="11"/>
        <v>95299.499999999985</v>
      </c>
      <c r="F38" s="10">
        <f t="shared" si="11"/>
        <v>97857.44</v>
      </c>
      <c r="G38" s="10">
        <f t="shared" si="11"/>
        <v>100184.03</v>
      </c>
      <c r="H38" s="10">
        <f t="shared" ref="H38:I38" si="12">H26</f>
        <v>96966</v>
      </c>
      <c r="I38" s="10">
        <f t="shared" si="12"/>
        <v>101816</v>
      </c>
    </row>
    <row r="39" spans="1:9" x14ac:dyDescent="0.2">
      <c r="C39" s="10"/>
      <c r="D39" s="10"/>
      <c r="E39" s="10"/>
      <c r="F39" s="10"/>
      <c r="G39" s="10"/>
      <c r="H39" s="10"/>
      <c r="I39" s="10"/>
    </row>
    <row r="40" spans="1:9" x14ac:dyDescent="0.2">
      <c r="B40" t="s">
        <v>1347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</row>
    <row r="41" spans="1:9" x14ac:dyDescent="0.2">
      <c r="C41" s="10"/>
      <c r="D41" s="10"/>
      <c r="E41" s="10"/>
      <c r="F41" s="10"/>
      <c r="G41" s="10"/>
      <c r="H41" s="10"/>
      <c r="I41" s="10"/>
    </row>
    <row r="42" spans="1:9" ht="13.5" thickBot="1" x14ac:dyDescent="0.25">
      <c r="B42" t="s">
        <v>1348</v>
      </c>
      <c r="C42" s="36">
        <f t="shared" ref="C42:G42" si="13">C34+C36-C38+C40</f>
        <v>97051.42</v>
      </c>
      <c r="D42" s="36">
        <f t="shared" si="13"/>
        <v>98728.15</v>
      </c>
      <c r="E42" s="36">
        <f t="shared" si="13"/>
        <v>97087.900000000009</v>
      </c>
      <c r="F42" s="36">
        <f t="shared" si="13"/>
        <v>91748.489999999991</v>
      </c>
      <c r="G42" s="36">
        <f t="shared" si="13"/>
        <v>89643.329999999987</v>
      </c>
      <c r="H42" s="36">
        <f t="shared" ref="H42:I42" si="14">H34+H36-H38+H40</f>
        <v>82727.329999999987</v>
      </c>
      <c r="I42" s="36">
        <f t="shared" si="14"/>
        <v>71911.329999999987</v>
      </c>
    </row>
    <row r="43" spans="1:9" ht="13.5" thickTop="1" x14ac:dyDescent="0.2"/>
    <row r="44" spans="1:9" x14ac:dyDescent="0.2">
      <c r="D44" s="100"/>
      <c r="E44" s="115"/>
      <c r="G44" s="10"/>
    </row>
    <row r="45" spans="1:9" x14ac:dyDescent="0.2">
      <c r="C45" s="10"/>
      <c r="D45" s="10"/>
    </row>
    <row r="46" spans="1:9" x14ac:dyDescent="0.2">
      <c r="C46" s="10"/>
    </row>
    <row r="135" spans="3:7" x14ac:dyDescent="0.2">
      <c r="C135" s="9"/>
      <c r="D135" s="9"/>
      <c r="E135" s="9"/>
      <c r="F135" s="9"/>
      <c r="G135" s="9"/>
    </row>
  </sheetData>
  <pageMargins left="0.5" right="0.5" top="1" bottom="1" header="0.5" footer="0.5"/>
  <pageSetup scale="76" firstPageNumber="30" fitToHeight="0" orientation="portrait" useFirstPageNumber="1" r:id="rId1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123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2.8554687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t="s">
        <v>1433</v>
      </c>
      <c r="B1" s="4" t="s">
        <v>653</v>
      </c>
    </row>
    <row r="2" spans="1:9" x14ac:dyDescent="0.2">
      <c r="B2" s="4" t="s">
        <v>1723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3" spans="1:9" x14ac:dyDescent="0.2"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9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202" t="s">
        <v>2465</v>
      </c>
      <c r="B5" s="4" t="s">
        <v>313</v>
      </c>
    </row>
    <row r="6" spans="1:9" x14ac:dyDescent="0.2">
      <c r="A6" t="s">
        <v>1724</v>
      </c>
      <c r="B6" s="126" t="s">
        <v>1827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x14ac:dyDescent="0.2">
      <c r="A7" t="s">
        <v>1725</v>
      </c>
      <c r="B7" s="126" t="s">
        <v>1828</v>
      </c>
      <c r="C7" s="10">
        <f>+intro!J390</f>
        <v>3.8E-3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x14ac:dyDescent="0.2">
      <c r="A8" s="39" t="s">
        <v>2401</v>
      </c>
      <c r="B8" s="126" t="s">
        <v>1761</v>
      </c>
      <c r="C8" s="10">
        <v>183.52</v>
      </c>
      <c r="D8" s="10">
        <v>111.06</v>
      </c>
      <c r="E8" s="10">
        <v>103.85</v>
      </c>
      <c r="F8" s="10">
        <v>144.84</v>
      </c>
      <c r="G8" s="10">
        <v>140.27000000000001</v>
      </c>
      <c r="H8" s="10">
        <v>50</v>
      </c>
      <c r="I8" s="10">
        <v>1000</v>
      </c>
    </row>
    <row r="9" spans="1:9" ht="13.5" thickBot="1" x14ac:dyDescent="0.25">
      <c r="B9" s="6" t="s">
        <v>137</v>
      </c>
      <c r="C9" s="135">
        <f>SUM(C6:C8)</f>
        <v>183.52380000000002</v>
      </c>
      <c r="D9" s="135">
        <f t="shared" ref="D9:E9" si="0">SUM(D6:D8)</f>
        <v>111.06</v>
      </c>
      <c r="E9" s="135">
        <f t="shared" si="0"/>
        <v>103.85</v>
      </c>
      <c r="F9" s="135">
        <f t="shared" ref="F9:G9" si="1">SUM(F6:F8)</f>
        <v>144.84</v>
      </c>
      <c r="G9" s="135">
        <f t="shared" si="1"/>
        <v>140.27000000000001</v>
      </c>
      <c r="H9" s="135">
        <f t="shared" ref="H9:I9" si="2">SUM(H6:H8)</f>
        <v>50</v>
      </c>
      <c r="I9" s="135">
        <f t="shared" si="2"/>
        <v>1000</v>
      </c>
    </row>
    <row r="10" spans="1:9" ht="13.5" thickTop="1" x14ac:dyDescent="0.2">
      <c r="A10" t="s">
        <v>1433</v>
      </c>
      <c r="C10" s="10"/>
      <c r="D10" s="10"/>
      <c r="E10" s="10"/>
      <c r="F10" s="10"/>
      <c r="G10" s="10"/>
      <c r="H10" s="10"/>
      <c r="I10" s="10"/>
    </row>
    <row r="11" spans="1:9" x14ac:dyDescent="0.2">
      <c r="A11" t="s">
        <v>1433</v>
      </c>
      <c r="C11" s="10"/>
      <c r="D11" s="10"/>
      <c r="E11" s="10"/>
      <c r="F11" s="10"/>
      <c r="G11" s="10"/>
      <c r="H11" s="10"/>
      <c r="I11" s="10"/>
    </row>
    <row r="12" spans="1:9" x14ac:dyDescent="0.2">
      <c r="A12" s="203">
        <v>280.471</v>
      </c>
      <c r="B12" s="4" t="s">
        <v>861</v>
      </c>
      <c r="C12" s="10"/>
      <c r="D12" s="10"/>
      <c r="E12" s="10"/>
      <c r="F12" s="10"/>
      <c r="G12" s="10"/>
      <c r="H12" s="10"/>
      <c r="I12" s="10"/>
    </row>
    <row r="13" spans="1:9" x14ac:dyDescent="0.2">
      <c r="A13" s="21" t="s">
        <v>1726</v>
      </c>
      <c r="B13" s="126" t="s">
        <v>2140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0">
        <f>+G13</f>
        <v>0</v>
      </c>
      <c r="I13" s="10">
        <f>+H13</f>
        <v>0</v>
      </c>
    </row>
    <row r="14" spans="1:9" ht="13.5" thickBot="1" x14ac:dyDescent="0.25">
      <c r="B14" s="6" t="s">
        <v>1341</v>
      </c>
      <c r="C14" s="36">
        <f t="shared" ref="C14:G14" si="3">SUM(C13:C13)</f>
        <v>0</v>
      </c>
      <c r="D14" s="36">
        <f t="shared" si="3"/>
        <v>0</v>
      </c>
      <c r="E14" s="36">
        <f t="shared" si="3"/>
        <v>0</v>
      </c>
      <c r="F14" s="36">
        <f t="shared" si="3"/>
        <v>0</v>
      </c>
      <c r="G14" s="36">
        <f t="shared" si="3"/>
        <v>0</v>
      </c>
      <c r="H14" s="135">
        <f t="shared" ref="H14:I14" si="4">SUM(H13:H13)</f>
        <v>0</v>
      </c>
      <c r="I14" s="135">
        <f t="shared" si="4"/>
        <v>0</v>
      </c>
    </row>
    <row r="15" spans="1:9" ht="13.5" thickTop="1" x14ac:dyDescent="0.2">
      <c r="B15" s="6"/>
      <c r="C15" s="10"/>
      <c r="D15" s="10"/>
      <c r="E15" s="10"/>
      <c r="F15" s="10"/>
      <c r="G15" s="10"/>
      <c r="H15" s="10"/>
      <c r="I15" s="10"/>
    </row>
    <row r="16" spans="1:9" x14ac:dyDescent="0.2">
      <c r="B16" s="6"/>
      <c r="C16" s="10"/>
      <c r="D16" s="10"/>
      <c r="E16" s="10"/>
      <c r="F16" s="10"/>
      <c r="G16" s="10"/>
      <c r="H16" s="10"/>
      <c r="I16" s="10"/>
    </row>
    <row r="17" spans="1:9" x14ac:dyDescent="0.2">
      <c r="B17" s="4" t="s">
        <v>653</v>
      </c>
      <c r="C17" s="112" t="s">
        <v>1433</v>
      </c>
      <c r="D17" s="112" t="s">
        <v>1433</v>
      </c>
      <c r="E17" s="112" t="s">
        <v>1433</v>
      </c>
      <c r="F17" s="112" t="s">
        <v>1433</v>
      </c>
      <c r="G17" s="112" t="s">
        <v>1433</v>
      </c>
      <c r="H17" s="112" t="s">
        <v>1433</v>
      </c>
      <c r="I17" s="112" t="s">
        <v>1433</v>
      </c>
    </row>
    <row r="18" spans="1:9" x14ac:dyDescent="0.2">
      <c r="B18" s="4" t="s">
        <v>1723</v>
      </c>
      <c r="C18" s="112" t="s">
        <v>1433</v>
      </c>
      <c r="D18" s="112" t="s">
        <v>1433</v>
      </c>
      <c r="E18" s="112" t="s">
        <v>1433</v>
      </c>
      <c r="F18" s="112" t="s">
        <v>1433</v>
      </c>
      <c r="G18" s="112" t="s">
        <v>1433</v>
      </c>
      <c r="H18" s="112" t="s">
        <v>1433</v>
      </c>
      <c r="I18" s="112" t="s">
        <v>1433</v>
      </c>
    </row>
    <row r="19" spans="1:9" x14ac:dyDescent="0.2">
      <c r="A19" t="s">
        <v>1433</v>
      </c>
      <c r="B19" s="4" t="s">
        <v>1343</v>
      </c>
      <c r="C19" s="112" t="s">
        <v>1433</v>
      </c>
      <c r="D19" s="112" t="s">
        <v>1433</v>
      </c>
      <c r="E19" s="112" t="s">
        <v>1433</v>
      </c>
      <c r="F19" s="112" t="s">
        <v>1433</v>
      </c>
      <c r="G19" s="112" t="s">
        <v>1433</v>
      </c>
      <c r="H19" s="112" t="s">
        <v>1433</v>
      </c>
      <c r="I19" s="112" t="s">
        <v>1433</v>
      </c>
    </row>
    <row r="20" spans="1:9" x14ac:dyDescent="0.2">
      <c r="A20" t="s">
        <v>1433</v>
      </c>
      <c r="C20" s="129" t="str">
        <f t="shared" ref="C20:D20" si="5">+C4</f>
        <v>2018 ACTUAL</v>
      </c>
      <c r="D20" s="129" t="str">
        <f t="shared" si="5"/>
        <v>2019 ACTUAL</v>
      </c>
      <c r="E20" s="129" t="str">
        <f t="shared" ref="E20:F20" si="6">+E4</f>
        <v>2020 ACTUAL</v>
      </c>
      <c r="F20" s="129" t="str">
        <f t="shared" si="6"/>
        <v>2021 ACTUAL</v>
      </c>
      <c r="G20" s="129" t="str">
        <f t="shared" ref="G20:H20" si="7">+G4</f>
        <v>2022 ACTUAL</v>
      </c>
      <c r="H20" s="129" t="str">
        <f t="shared" si="7"/>
        <v xml:space="preserve">2023 BUDGET </v>
      </c>
      <c r="I20" s="129" t="str">
        <f t="shared" ref="I20" si="8">+I4</f>
        <v xml:space="preserve">2024 BUDGET </v>
      </c>
    </row>
    <row r="21" spans="1:9" x14ac:dyDescent="0.2">
      <c r="A21" t="s">
        <v>1433</v>
      </c>
      <c r="C21" s="112"/>
      <c r="D21" s="112"/>
      <c r="E21" s="112"/>
      <c r="F21" s="112"/>
      <c r="G21" s="112"/>
      <c r="H21" s="112"/>
      <c r="I21" s="112"/>
    </row>
    <row r="22" spans="1:9" x14ac:dyDescent="0.2">
      <c r="A22" t="s">
        <v>1433</v>
      </c>
      <c r="B22" t="s">
        <v>1344</v>
      </c>
      <c r="C22" s="10">
        <f>49082+0.42</f>
        <v>49082.42</v>
      </c>
      <c r="D22" s="10">
        <f t="shared" ref="D22:I22" si="9">C30</f>
        <v>49265.943800000001</v>
      </c>
      <c r="E22" s="10">
        <f t="shared" si="9"/>
        <v>49377.003799999999</v>
      </c>
      <c r="F22" s="10">
        <f t="shared" si="9"/>
        <v>49480.853799999997</v>
      </c>
      <c r="G22" s="10">
        <f t="shared" si="9"/>
        <v>49625.693799999994</v>
      </c>
      <c r="H22" s="10">
        <f t="shared" si="9"/>
        <v>49765.96379999999</v>
      </c>
      <c r="I22" s="10">
        <f t="shared" si="9"/>
        <v>49815.96379999999</v>
      </c>
    </row>
    <row r="23" spans="1:9" x14ac:dyDescent="0.2">
      <c r="C23" s="10"/>
      <c r="D23" s="10"/>
      <c r="E23" s="10"/>
      <c r="F23" s="10"/>
      <c r="G23" s="10"/>
      <c r="H23" s="10"/>
      <c r="I23" s="10"/>
    </row>
    <row r="24" spans="1:9" x14ac:dyDescent="0.2">
      <c r="B24" t="s">
        <v>113</v>
      </c>
      <c r="C24" s="10">
        <f t="shared" ref="C24:G24" si="10">C9</f>
        <v>183.52380000000002</v>
      </c>
      <c r="D24" s="10">
        <f t="shared" si="10"/>
        <v>111.06</v>
      </c>
      <c r="E24" s="10">
        <f t="shared" si="10"/>
        <v>103.85</v>
      </c>
      <c r="F24" s="10">
        <f t="shared" si="10"/>
        <v>144.84</v>
      </c>
      <c r="G24" s="10">
        <f t="shared" si="10"/>
        <v>140.27000000000001</v>
      </c>
      <c r="H24" s="10">
        <f t="shared" ref="H24:I24" si="11">H9</f>
        <v>50</v>
      </c>
      <c r="I24" s="10">
        <f t="shared" si="11"/>
        <v>1000</v>
      </c>
    </row>
    <row r="25" spans="1:9" x14ac:dyDescent="0.2">
      <c r="C25" s="10"/>
      <c r="D25" s="10"/>
      <c r="E25" s="10"/>
      <c r="F25" s="10"/>
      <c r="G25" s="10"/>
      <c r="H25" s="10"/>
      <c r="I25" s="10"/>
    </row>
    <row r="26" spans="1:9" x14ac:dyDescent="0.2">
      <c r="B26" t="s">
        <v>1427</v>
      </c>
      <c r="C26" s="10">
        <f t="shared" ref="C26:G26" si="12">C14</f>
        <v>0</v>
      </c>
      <c r="D26" s="10">
        <f t="shared" si="12"/>
        <v>0</v>
      </c>
      <c r="E26" s="10">
        <f t="shared" si="12"/>
        <v>0</v>
      </c>
      <c r="F26" s="10">
        <f t="shared" si="12"/>
        <v>0</v>
      </c>
      <c r="G26" s="10">
        <f t="shared" si="12"/>
        <v>0</v>
      </c>
      <c r="H26" s="10">
        <f t="shared" ref="H26:I26" si="13">H14</f>
        <v>0</v>
      </c>
      <c r="I26" s="10">
        <f t="shared" si="13"/>
        <v>0</v>
      </c>
    </row>
    <row r="27" spans="1:9" x14ac:dyDescent="0.2">
      <c r="C27" s="10"/>
      <c r="D27" s="10"/>
      <c r="E27" s="10"/>
      <c r="F27" s="10"/>
      <c r="G27" s="10"/>
      <c r="H27" s="10"/>
      <c r="I27" s="10"/>
    </row>
    <row r="28" spans="1:9" x14ac:dyDescent="0.2">
      <c r="B28" t="s">
        <v>1347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x14ac:dyDescent="0.2">
      <c r="C29" s="10"/>
      <c r="D29" s="10"/>
      <c r="E29" s="10"/>
      <c r="F29" s="10"/>
      <c r="G29" s="10"/>
      <c r="H29" s="10"/>
      <c r="I29" s="10"/>
    </row>
    <row r="30" spans="1:9" ht="13.5" thickBot="1" x14ac:dyDescent="0.25">
      <c r="B30" t="s">
        <v>1348</v>
      </c>
      <c r="C30" s="36">
        <f t="shared" ref="C30:G30" si="14">C22+C24-C26+C28</f>
        <v>49265.943800000001</v>
      </c>
      <c r="D30" s="36">
        <f t="shared" si="14"/>
        <v>49377.003799999999</v>
      </c>
      <c r="E30" s="36">
        <f t="shared" si="14"/>
        <v>49480.853799999997</v>
      </c>
      <c r="F30" s="36">
        <f t="shared" si="14"/>
        <v>49625.693799999994</v>
      </c>
      <c r="G30" s="36">
        <f t="shared" si="14"/>
        <v>49765.96379999999</v>
      </c>
      <c r="H30" s="36">
        <f t="shared" ref="H30:I30" si="15">H22+H24-H26+H28</f>
        <v>49815.96379999999</v>
      </c>
      <c r="I30" s="36">
        <f t="shared" si="15"/>
        <v>50815.96379999999</v>
      </c>
    </row>
    <row r="31" spans="1:9" ht="13.5" thickTop="1" x14ac:dyDescent="0.2"/>
    <row r="123" spans="3:7" x14ac:dyDescent="0.2">
      <c r="C123" s="9"/>
      <c r="D123" s="9"/>
      <c r="E123" s="9"/>
      <c r="F123" s="9"/>
      <c r="G123" s="9"/>
    </row>
  </sheetData>
  <pageMargins left="0.5" right="0.5" top="1" bottom="1" header="0.5" footer="0.5"/>
  <pageSetup scale="78" firstPageNumber="31" fitToHeight="0" orientation="portrait" useFirstPageNumber="1" r:id="rId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107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3.285156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s="16" t="s">
        <v>1433</v>
      </c>
      <c r="B1" s="4" t="s">
        <v>653</v>
      </c>
      <c r="C1" s="1" t="s">
        <v>1433</v>
      </c>
      <c r="D1" s="1" t="s">
        <v>1433</v>
      </c>
      <c r="E1" s="1" t="s">
        <v>1433</v>
      </c>
      <c r="F1" s="1" t="s">
        <v>1433</v>
      </c>
      <c r="G1" s="1" t="s">
        <v>1433</v>
      </c>
    </row>
    <row r="2" spans="1:9" x14ac:dyDescent="0.2">
      <c r="A2" s="16"/>
      <c r="B2" s="4" t="s">
        <v>604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3" spans="1:9" x14ac:dyDescent="0.2">
      <c r="A3" s="16"/>
    </row>
    <row r="4" spans="1:9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206" t="s">
        <v>2490</v>
      </c>
      <c r="B5" s="4" t="s">
        <v>313</v>
      </c>
    </row>
    <row r="6" spans="1:9" x14ac:dyDescent="0.2">
      <c r="A6" s="16" t="s">
        <v>1368</v>
      </c>
      <c r="B6" s="125" t="s">
        <v>2145</v>
      </c>
      <c r="C6" s="10">
        <v>26316.85</v>
      </c>
      <c r="D6" s="10">
        <v>23677.62</v>
      </c>
      <c r="E6" s="10">
        <v>14864.76</v>
      </c>
      <c r="F6" s="10">
        <v>12399.17</v>
      </c>
      <c r="G6" s="10">
        <v>13016.52</v>
      </c>
      <c r="H6" s="10">
        <v>11000</v>
      </c>
      <c r="I6" s="10">
        <v>11000</v>
      </c>
    </row>
    <row r="7" spans="1:9" x14ac:dyDescent="0.2">
      <c r="A7" s="16" t="s">
        <v>1369</v>
      </c>
      <c r="B7" s="125" t="s">
        <v>1761</v>
      </c>
      <c r="C7" s="10">
        <v>3600.41</v>
      </c>
      <c r="D7" s="10">
        <v>4526.43</v>
      </c>
      <c r="E7" s="10">
        <v>2775.52</v>
      </c>
      <c r="F7" s="10">
        <v>886.07</v>
      </c>
      <c r="G7" s="10">
        <v>817.51</v>
      </c>
      <c r="H7" s="10">
        <v>100</v>
      </c>
      <c r="I7" s="10">
        <v>1300</v>
      </c>
    </row>
    <row r="8" spans="1:9" x14ac:dyDescent="0.2">
      <c r="A8" s="16" t="s">
        <v>2325</v>
      </c>
      <c r="B8" s="125" t="s">
        <v>1878</v>
      </c>
      <c r="C8" s="10">
        <v>0</v>
      </c>
      <c r="D8" s="10">
        <v>0</v>
      </c>
      <c r="E8" s="10">
        <v>1057.73</v>
      </c>
      <c r="F8" s="10">
        <v>0</v>
      </c>
      <c r="G8" s="10">
        <v>0</v>
      </c>
      <c r="H8" s="10">
        <v>0</v>
      </c>
      <c r="I8" s="10">
        <v>0</v>
      </c>
    </row>
    <row r="9" spans="1:9" ht="13.5" thickBot="1" x14ac:dyDescent="0.25">
      <c r="A9" s="16"/>
      <c r="B9" s="6" t="s">
        <v>137</v>
      </c>
      <c r="C9" s="135">
        <f t="shared" ref="C9:H9" si="0">SUM(C6:C8)</f>
        <v>29917.26</v>
      </c>
      <c r="D9" s="135">
        <f t="shared" si="0"/>
        <v>28204.05</v>
      </c>
      <c r="E9" s="135">
        <f t="shared" si="0"/>
        <v>18698.009999999998</v>
      </c>
      <c r="F9" s="135">
        <f t="shared" si="0"/>
        <v>13285.24</v>
      </c>
      <c r="G9" s="135">
        <f t="shared" si="0"/>
        <v>13834.03</v>
      </c>
      <c r="H9" s="135">
        <f t="shared" si="0"/>
        <v>11100</v>
      </c>
      <c r="I9" s="135">
        <f t="shared" ref="I9" si="1">SUM(I6:I8)</f>
        <v>12300</v>
      </c>
    </row>
    <row r="10" spans="1:9" ht="13.5" thickTop="1" x14ac:dyDescent="0.2">
      <c r="A10" s="16"/>
      <c r="C10" s="10"/>
      <c r="D10" s="10"/>
      <c r="E10" s="10"/>
      <c r="F10" s="10"/>
      <c r="G10" s="10"/>
      <c r="H10" s="10"/>
      <c r="I10" s="10"/>
    </row>
    <row r="11" spans="1:9" x14ac:dyDescent="0.2">
      <c r="A11" s="16" t="s">
        <v>1433</v>
      </c>
      <c r="C11" s="10"/>
      <c r="D11" s="10"/>
      <c r="E11" s="10"/>
      <c r="F11" s="10"/>
      <c r="G11" s="10"/>
      <c r="H11" s="10"/>
      <c r="I11" s="10"/>
    </row>
    <row r="12" spans="1:9" x14ac:dyDescent="0.2">
      <c r="A12" s="198" t="s">
        <v>2491</v>
      </c>
      <c r="B12" s="4" t="s">
        <v>861</v>
      </c>
      <c r="C12" s="10"/>
      <c r="D12" s="10"/>
      <c r="E12" s="10"/>
      <c r="F12" s="10"/>
      <c r="G12" s="10"/>
      <c r="H12" s="10"/>
      <c r="I12" s="10"/>
    </row>
    <row r="13" spans="1:9" x14ac:dyDescent="0.2">
      <c r="A13" s="16" t="s">
        <v>182</v>
      </c>
      <c r="B13" s="126" t="s">
        <v>2146</v>
      </c>
      <c r="C13" s="10">
        <v>0</v>
      </c>
      <c r="D13" s="10">
        <v>1200</v>
      </c>
      <c r="E13" s="10">
        <v>2071.42</v>
      </c>
      <c r="F13" s="10">
        <v>0</v>
      </c>
      <c r="G13" s="10">
        <v>1068.49</v>
      </c>
      <c r="H13" s="10">
        <v>0</v>
      </c>
      <c r="I13" s="10">
        <v>0</v>
      </c>
    </row>
    <row r="14" spans="1:9" x14ac:dyDescent="0.2">
      <c r="A14" s="16" t="s">
        <v>183</v>
      </c>
      <c r="B14" s="126" t="s">
        <v>1891</v>
      </c>
      <c r="C14" s="10">
        <v>0</v>
      </c>
      <c r="D14" s="10">
        <v>91.8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x14ac:dyDescent="0.2">
      <c r="A15" s="16" t="s">
        <v>184</v>
      </c>
      <c r="B15" s="126" t="s">
        <v>1892</v>
      </c>
      <c r="C15" s="10">
        <v>0</v>
      </c>
      <c r="D15" s="10">
        <v>133.44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x14ac:dyDescent="0.2">
      <c r="A16" s="16" t="s">
        <v>714</v>
      </c>
      <c r="B16" s="126" t="s">
        <v>1897</v>
      </c>
      <c r="C16" s="10">
        <v>1920</v>
      </c>
      <c r="D16" s="10">
        <v>1920</v>
      </c>
      <c r="E16" s="10">
        <v>1920</v>
      </c>
      <c r="F16" s="10">
        <v>1920</v>
      </c>
      <c r="G16" s="10">
        <v>3365.35</v>
      </c>
      <c r="H16" s="10">
        <v>3920</v>
      </c>
      <c r="I16" s="10">
        <v>3920</v>
      </c>
    </row>
    <row r="17" spans="1:9" x14ac:dyDescent="0.2">
      <c r="A17" s="16" t="s">
        <v>1527</v>
      </c>
      <c r="B17" s="126" t="s">
        <v>1898</v>
      </c>
      <c r="C17" s="10">
        <v>5292.07</v>
      </c>
      <c r="D17" s="10">
        <v>9941.9699999999993</v>
      </c>
      <c r="E17" s="10">
        <v>4008.02</v>
      </c>
      <c r="F17" s="10">
        <v>4221.07</v>
      </c>
      <c r="G17" s="10">
        <v>6541.16</v>
      </c>
      <c r="H17" s="10">
        <v>8500</v>
      </c>
      <c r="I17" s="10">
        <f>7500*4</f>
        <v>30000</v>
      </c>
    </row>
    <row r="18" spans="1:9" x14ac:dyDescent="0.2">
      <c r="A18" s="52" t="s">
        <v>1737</v>
      </c>
      <c r="B18" s="126" t="s">
        <v>2147</v>
      </c>
      <c r="C18" s="10">
        <v>1058</v>
      </c>
      <c r="D18" s="10">
        <v>1143.49</v>
      </c>
      <c r="E18" s="10">
        <v>1846.76</v>
      </c>
      <c r="F18" s="10">
        <v>2468.14</v>
      </c>
      <c r="G18" s="10">
        <v>631.08000000000004</v>
      </c>
      <c r="H18" s="10">
        <v>1900</v>
      </c>
      <c r="I18" s="10">
        <v>1900</v>
      </c>
    </row>
    <row r="19" spans="1:9" x14ac:dyDescent="0.2">
      <c r="A19" s="16" t="s">
        <v>606</v>
      </c>
      <c r="B19" s="125" t="s">
        <v>1900</v>
      </c>
      <c r="C19" s="10">
        <v>9547.52</v>
      </c>
      <c r="D19" s="10">
        <v>927.13</v>
      </c>
      <c r="E19" s="10">
        <v>11941.55</v>
      </c>
      <c r="F19" s="10">
        <v>1362.7</v>
      </c>
      <c r="G19" s="10">
        <v>14919.62</v>
      </c>
      <c r="H19" s="10">
        <v>5000</v>
      </c>
      <c r="I19" s="10">
        <v>5000</v>
      </c>
    </row>
    <row r="20" spans="1:9" x14ac:dyDescent="0.2">
      <c r="A20" s="16" t="s">
        <v>605</v>
      </c>
      <c r="B20" s="126" t="s">
        <v>1930</v>
      </c>
      <c r="C20" s="10">
        <v>0</v>
      </c>
      <c r="D20" s="10">
        <v>0</v>
      </c>
      <c r="E20" s="10">
        <v>8907.5</v>
      </c>
      <c r="F20" s="212">
        <v>45072.5</v>
      </c>
      <c r="G20" s="10">
        <v>2625</v>
      </c>
      <c r="H20" s="10">
        <v>10000</v>
      </c>
      <c r="I20" s="10">
        <v>10000</v>
      </c>
    </row>
    <row r="21" spans="1:9" x14ac:dyDescent="0.2">
      <c r="A21" s="52" t="s">
        <v>1678</v>
      </c>
      <c r="B21" s="126" t="s">
        <v>2148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3.5" thickBot="1" x14ac:dyDescent="0.25">
      <c r="A22" s="16"/>
      <c r="B22" s="6" t="s">
        <v>1341</v>
      </c>
      <c r="C22" s="36">
        <f t="shared" ref="C22:G22" si="2">SUM(C13:C21)</f>
        <v>17817.59</v>
      </c>
      <c r="D22" s="36">
        <f t="shared" si="2"/>
        <v>15357.829999999998</v>
      </c>
      <c r="E22" s="36">
        <f t="shared" si="2"/>
        <v>30695.25</v>
      </c>
      <c r="F22" s="36">
        <f t="shared" si="2"/>
        <v>55044.41</v>
      </c>
      <c r="G22" s="36">
        <f t="shared" si="2"/>
        <v>29150.7</v>
      </c>
      <c r="H22" s="36">
        <f t="shared" ref="H22:I22" si="3">SUM(H13:H21)</f>
        <v>29320</v>
      </c>
      <c r="I22" s="36">
        <f t="shared" si="3"/>
        <v>50820</v>
      </c>
    </row>
    <row r="23" spans="1:9" ht="13.5" thickTop="1" x14ac:dyDescent="0.2">
      <c r="A23" s="16"/>
      <c r="C23" s="10"/>
      <c r="D23" s="10"/>
      <c r="E23" s="10"/>
      <c r="F23" s="10"/>
      <c r="G23" s="10"/>
      <c r="H23" s="10"/>
      <c r="I23" s="10"/>
    </row>
    <row r="24" spans="1:9" x14ac:dyDescent="0.2">
      <c r="A24" s="16"/>
      <c r="B24" s="4" t="s">
        <v>653</v>
      </c>
      <c r="C24" s="10"/>
      <c r="D24" s="10"/>
      <c r="E24" s="10"/>
      <c r="F24" s="10"/>
      <c r="G24" s="10"/>
      <c r="H24" s="10"/>
      <c r="I24" s="10"/>
    </row>
    <row r="25" spans="1:9" x14ac:dyDescent="0.2">
      <c r="A25" s="16"/>
      <c r="B25" s="4" t="s">
        <v>604</v>
      </c>
      <c r="C25" s="10"/>
      <c r="D25" s="10"/>
      <c r="E25" s="10"/>
      <c r="F25" s="10"/>
      <c r="G25" s="10"/>
      <c r="H25" s="10"/>
      <c r="I25" s="10"/>
    </row>
    <row r="26" spans="1:9" x14ac:dyDescent="0.2">
      <c r="A26" s="16"/>
      <c r="B26" s="4" t="s">
        <v>1343</v>
      </c>
      <c r="C26" s="10"/>
      <c r="D26" s="10"/>
      <c r="E26" s="10"/>
      <c r="F26" s="10"/>
      <c r="G26" s="10"/>
      <c r="H26" s="10"/>
      <c r="I26" s="10"/>
    </row>
    <row r="27" spans="1:9" x14ac:dyDescent="0.2">
      <c r="A27" s="16"/>
      <c r="C27" s="129" t="str">
        <f t="shared" ref="C27:D27" si="4">+C4</f>
        <v>2018 ACTUAL</v>
      </c>
      <c r="D27" s="129" t="str">
        <f t="shared" si="4"/>
        <v>2019 ACTUAL</v>
      </c>
      <c r="E27" s="129" t="str">
        <f t="shared" ref="E27:F27" si="5">+E4</f>
        <v>2020 ACTUAL</v>
      </c>
      <c r="F27" s="129" t="str">
        <f t="shared" si="5"/>
        <v>2021 ACTUAL</v>
      </c>
      <c r="G27" s="129" t="str">
        <f t="shared" ref="G27:H27" si="6">+G4</f>
        <v>2022 ACTUAL</v>
      </c>
      <c r="H27" s="129" t="str">
        <f t="shared" si="6"/>
        <v xml:space="preserve">2023 BUDGET </v>
      </c>
      <c r="I27" s="129" t="str">
        <f t="shared" ref="I27" si="7">+I4</f>
        <v xml:space="preserve">2024 BUDGET </v>
      </c>
    </row>
    <row r="28" spans="1:9" x14ac:dyDescent="0.2">
      <c r="A28" s="16"/>
      <c r="C28" s="112"/>
      <c r="D28" s="112"/>
      <c r="E28" s="112"/>
      <c r="F28" s="112"/>
      <c r="G28" s="112"/>
      <c r="H28" s="112"/>
      <c r="I28" s="112"/>
    </row>
    <row r="29" spans="1:9" x14ac:dyDescent="0.2">
      <c r="A29" s="16"/>
      <c r="B29" t="s">
        <v>1344</v>
      </c>
      <c r="C29" s="10">
        <v>203678.84</v>
      </c>
      <c r="D29" s="10">
        <f t="shared" ref="D29:I29" si="8">C37</f>
        <v>215778.51</v>
      </c>
      <c r="E29" s="10">
        <f t="shared" si="8"/>
        <v>228624.73</v>
      </c>
      <c r="F29" s="10">
        <f t="shared" si="8"/>
        <v>216627.49000000002</v>
      </c>
      <c r="G29" s="10">
        <f t="shared" si="8"/>
        <v>174868.32</v>
      </c>
      <c r="H29" s="10">
        <f t="shared" si="8"/>
        <v>159551.65</v>
      </c>
      <c r="I29" s="10">
        <f t="shared" si="8"/>
        <v>141331.65</v>
      </c>
    </row>
    <row r="30" spans="1:9" x14ac:dyDescent="0.2">
      <c r="A30" s="16" t="s">
        <v>1433</v>
      </c>
      <c r="C30" s="10"/>
      <c r="D30" s="10"/>
      <c r="E30" s="10"/>
      <c r="F30" s="10"/>
      <c r="G30" s="10"/>
      <c r="H30" s="10"/>
      <c r="I30" s="10"/>
    </row>
    <row r="31" spans="1:9" x14ac:dyDescent="0.2">
      <c r="A31" s="16"/>
      <c r="B31" t="s">
        <v>113</v>
      </c>
      <c r="C31" s="10">
        <f t="shared" ref="C31:G31" si="9">C9</f>
        <v>29917.26</v>
      </c>
      <c r="D31" s="10">
        <f t="shared" si="9"/>
        <v>28204.05</v>
      </c>
      <c r="E31" s="10">
        <f t="shared" si="9"/>
        <v>18698.009999999998</v>
      </c>
      <c r="F31" s="10">
        <f t="shared" si="9"/>
        <v>13285.24</v>
      </c>
      <c r="G31" s="10">
        <f t="shared" si="9"/>
        <v>13834.03</v>
      </c>
      <c r="H31" s="10">
        <f t="shared" ref="H31:I31" si="10">H9</f>
        <v>11100</v>
      </c>
      <c r="I31" s="10">
        <f t="shared" si="10"/>
        <v>12300</v>
      </c>
    </row>
    <row r="32" spans="1:9" x14ac:dyDescent="0.2">
      <c r="A32" s="16" t="s">
        <v>1433</v>
      </c>
      <c r="C32" s="10"/>
      <c r="D32" s="10"/>
      <c r="E32" s="10"/>
      <c r="F32" s="10"/>
      <c r="G32" s="10"/>
      <c r="H32" s="10"/>
      <c r="I32" s="10"/>
    </row>
    <row r="33" spans="1:9" x14ac:dyDescent="0.2">
      <c r="A33" s="16"/>
      <c r="B33" t="s">
        <v>1427</v>
      </c>
      <c r="C33" s="10">
        <f t="shared" ref="C33:G33" si="11">C22</f>
        <v>17817.59</v>
      </c>
      <c r="D33" s="10">
        <f t="shared" si="11"/>
        <v>15357.829999999998</v>
      </c>
      <c r="E33" s="10">
        <f t="shared" si="11"/>
        <v>30695.25</v>
      </c>
      <c r="F33" s="10">
        <f t="shared" si="11"/>
        <v>55044.41</v>
      </c>
      <c r="G33" s="10">
        <f t="shared" si="11"/>
        <v>29150.7</v>
      </c>
      <c r="H33" s="10">
        <f t="shared" ref="H33:I33" si="12">H22</f>
        <v>29320</v>
      </c>
      <c r="I33" s="10">
        <f t="shared" si="12"/>
        <v>50820</v>
      </c>
    </row>
    <row r="34" spans="1:9" x14ac:dyDescent="0.2">
      <c r="A34" s="16"/>
      <c r="C34" s="10"/>
      <c r="D34" s="10"/>
      <c r="E34" s="10"/>
      <c r="F34" s="10"/>
      <c r="G34" s="10"/>
      <c r="H34" s="10"/>
      <c r="I34" s="10"/>
    </row>
    <row r="35" spans="1:9" x14ac:dyDescent="0.2">
      <c r="A35" s="16"/>
      <c r="B35" t="s">
        <v>1347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</row>
    <row r="36" spans="1:9" x14ac:dyDescent="0.2">
      <c r="A36" s="16"/>
      <c r="C36" s="10"/>
      <c r="D36" s="10"/>
      <c r="E36" s="10"/>
      <c r="F36" s="10"/>
      <c r="G36" s="10"/>
      <c r="H36" s="10"/>
      <c r="I36" s="10"/>
    </row>
    <row r="37" spans="1:9" ht="13.5" thickBot="1" x14ac:dyDescent="0.25">
      <c r="A37" s="16"/>
      <c r="B37" t="s">
        <v>1348</v>
      </c>
      <c r="C37" s="36">
        <f t="shared" ref="C37:G37" si="13">C29+C31-C33+C35</f>
        <v>215778.51</v>
      </c>
      <c r="D37" s="36">
        <f t="shared" si="13"/>
        <v>228624.73</v>
      </c>
      <c r="E37" s="36">
        <f t="shared" si="13"/>
        <v>216627.49000000002</v>
      </c>
      <c r="F37" s="36">
        <f t="shared" si="13"/>
        <v>174868.32</v>
      </c>
      <c r="G37" s="36">
        <f t="shared" si="13"/>
        <v>159551.65</v>
      </c>
      <c r="H37" s="36">
        <f t="shared" ref="H37:I37" si="14">H29+H31-H33+H35</f>
        <v>141331.65</v>
      </c>
      <c r="I37" s="36">
        <f t="shared" si="14"/>
        <v>102811.65</v>
      </c>
    </row>
    <row r="38" spans="1:9" ht="13.5" thickTop="1" x14ac:dyDescent="0.2">
      <c r="C38" s="10"/>
      <c r="D38" s="10"/>
      <c r="E38" s="10"/>
      <c r="F38" s="10"/>
      <c r="G38" s="10"/>
      <c r="H38" s="10"/>
      <c r="I38" s="10"/>
    </row>
    <row r="39" spans="1:9" x14ac:dyDescent="0.2">
      <c r="C39" s="10"/>
      <c r="D39" s="10"/>
      <c r="E39" s="10"/>
      <c r="F39" s="10"/>
      <c r="G39" s="10"/>
      <c r="H39" s="10"/>
      <c r="I39" s="10"/>
    </row>
    <row r="40" spans="1:9" x14ac:dyDescent="0.2">
      <c r="C40" s="10"/>
      <c r="D40" s="10"/>
      <c r="E40" s="10"/>
      <c r="F40" s="10"/>
      <c r="G40" s="10"/>
      <c r="H40" s="10"/>
      <c r="I40" s="10"/>
    </row>
    <row r="41" spans="1:9" x14ac:dyDescent="0.2">
      <c r="C41" s="10"/>
      <c r="D41" s="10"/>
      <c r="E41" s="10"/>
      <c r="F41" s="10"/>
      <c r="G41" s="10"/>
      <c r="H41" s="10"/>
      <c r="I41" s="10"/>
    </row>
    <row r="42" spans="1:9" x14ac:dyDescent="0.2">
      <c r="B42" s="4" t="s">
        <v>653</v>
      </c>
      <c r="C42" s="10"/>
      <c r="D42" s="10"/>
      <c r="E42" s="10"/>
      <c r="F42" s="10"/>
      <c r="G42" s="10"/>
      <c r="H42" s="10"/>
      <c r="I42" s="10"/>
    </row>
    <row r="43" spans="1:9" x14ac:dyDescent="0.2">
      <c r="B43" s="4" t="s">
        <v>1680</v>
      </c>
      <c r="C43" s="10"/>
      <c r="D43" s="10"/>
      <c r="E43" s="10"/>
      <c r="F43" s="10"/>
      <c r="G43" s="10"/>
      <c r="H43" s="10"/>
      <c r="I43" s="10"/>
    </row>
    <row r="44" spans="1:9" x14ac:dyDescent="0.2">
      <c r="C44" s="10"/>
      <c r="D44" s="10"/>
      <c r="E44" s="10"/>
      <c r="F44" s="10"/>
      <c r="G44" s="10"/>
      <c r="H44" s="10"/>
      <c r="I44" s="10"/>
    </row>
    <row r="45" spans="1:9" x14ac:dyDescent="0.2">
      <c r="C45" s="129" t="str">
        <f t="shared" ref="C45:I45" si="15">+C$4</f>
        <v>2018 ACTUAL</v>
      </c>
      <c r="D45" s="129" t="str">
        <f t="shared" si="15"/>
        <v>2019 ACTUAL</v>
      </c>
      <c r="E45" s="129" t="str">
        <f t="shared" si="15"/>
        <v>2020 ACTUAL</v>
      </c>
      <c r="F45" s="129" t="str">
        <f t="shared" si="15"/>
        <v>2021 ACTUAL</v>
      </c>
      <c r="G45" s="129" t="str">
        <f t="shared" si="15"/>
        <v>2022 ACTUAL</v>
      </c>
      <c r="H45" s="129" t="str">
        <f t="shared" si="15"/>
        <v xml:space="preserve">2023 BUDGET </v>
      </c>
      <c r="I45" s="129" t="str">
        <f t="shared" si="15"/>
        <v xml:space="preserve">2024 BUDGET </v>
      </c>
    </row>
    <row r="46" spans="1:9" x14ac:dyDescent="0.2">
      <c r="A46" s="202" t="s">
        <v>2492</v>
      </c>
      <c r="B46" s="4" t="s">
        <v>313</v>
      </c>
      <c r="C46" s="10"/>
      <c r="D46" s="10"/>
      <c r="E46" s="10"/>
      <c r="F46" s="10"/>
      <c r="G46" s="10"/>
      <c r="H46" s="10"/>
      <c r="I46" s="10"/>
    </row>
    <row r="47" spans="1:9" x14ac:dyDescent="0.2">
      <c r="A47" t="s">
        <v>374</v>
      </c>
      <c r="B47" s="125" t="s">
        <v>2143</v>
      </c>
      <c r="C47" s="10">
        <v>1812.83</v>
      </c>
      <c r="D47" s="10">
        <v>150.04</v>
      </c>
      <c r="E47" s="10">
        <v>88.57</v>
      </c>
      <c r="F47" s="10">
        <v>1054.98</v>
      </c>
      <c r="G47" s="10">
        <v>0</v>
      </c>
      <c r="H47" s="10">
        <v>200</v>
      </c>
      <c r="I47" s="10">
        <v>200</v>
      </c>
    </row>
    <row r="48" spans="1:9" x14ac:dyDescent="0.2">
      <c r="A48" t="s">
        <v>375</v>
      </c>
      <c r="B48" s="125" t="s">
        <v>2144</v>
      </c>
      <c r="C48" s="10">
        <v>4974.38</v>
      </c>
      <c r="D48" s="10">
        <v>5938.71</v>
      </c>
      <c r="E48" s="10">
        <v>6008.22</v>
      </c>
      <c r="F48" s="10">
        <v>5253.22</v>
      </c>
      <c r="G48" s="10">
        <v>2220.4699999999998</v>
      </c>
      <c r="H48" s="10">
        <v>3000</v>
      </c>
      <c r="I48" s="10">
        <v>650</v>
      </c>
    </row>
    <row r="49" spans="1:9" x14ac:dyDescent="0.2">
      <c r="A49" t="s">
        <v>376</v>
      </c>
      <c r="B49" s="125" t="s">
        <v>1761</v>
      </c>
      <c r="C49" s="12">
        <v>135.66999999999999</v>
      </c>
      <c r="D49" s="12">
        <v>99.84</v>
      </c>
      <c r="E49" s="12">
        <v>105.17</v>
      </c>
      <c r="F49" s="12">
        <v>166.49</v>
      </c>
      <c r="G49" s="12">
        <v>172.74</v>
      </c>
      <c r="H49" s="12">
        <v>100</v>
      </c>
      <c r="I49" s="12">
        <v>100</v>
      </c>
    </row>
    <row r="50" spans="1:9" ht="13.5" thickBot="1" x14ac:dyDescent="0.25">
      <c r="B50" s="6" t="s">
        <v>137</v>
      </c>
      <c r="C50" s="36">
        <f t="shared" ref="C50:G50" si="16">SUM(C47:C49)</f>
        <v>6922.88</v>
      </c>
      <c r="D50" s="36">
        <f t="shared" si="16"/>
        <v>6188.59</v>
      </c>
      <c r="E50" s="36">
        <f t="shared" si="16"/>
        <v>6201.96</v>
      </c>
      <c r="F50" s="36">
        <f t="shared" si="16"/>
        <v>6474.6900000000005</v>
      </c>
      <c r="G50" s="36">
        <f t="shared" si="16"/>
        <v>2393.21</v>
      </c>
      <c r="H50" s="36">
        <f t="shared" ref="H50:I50" si="17">SUM(H47:H49)</f>
        <v>3300</v>
      </c>
      <c r="I50" s="36">
        <f t="shared" si="17"/>
        <v>950</v>
      </c>
    </row>
    <row r="51" spans="1:9" ht="13.5" thickTop="1" x14ac:dyDescent="0.2">
      <c r="C51" s="10"/>
      <c r="D51" s="10"/>
      <c r="E51" s="10"/>
      <c r="F51" s="10"/>
      <c r="G51" s="10"/>
      <c r="H51" s="10"/>
      <c r="I51" s="10"/>
    </row>
    <row r="52" spans="1:9" x14ac:dyDescent="0.2">
      <c r="C52" s="10"/>
      <c r="D52" s="10"/>
      <c r="E52" s="10"/>
      <c r="F52" s="10"/>
      <c r="G52" s="10"/>
      <c r="H52" s="10"/>
      <c r="I52" s="10"/>
    </row>
    <row r="53" spans="1:9" x14ac:dyDescent="0.2">
      <c r="A53" s="203">
        <v>310.69499999999999</v>
      </c>
      <c r="B53" s="4" t="s">
        <v>861</v>
      </c>
      <c r="C53" s="10"/>
      <c r="D53" s="10"/>
      <c r="E53" s="10"/>
      <c r="F53" s="10"/>
      <c r="G53" s="10"/>
      <c r="H53" s="10"/>
      <c r="I53" s="10"/>
    </row>
    <row r="54" spans="1:9" x14ac:dyDescent="0.2">
      <c r="A54" t="s">
        <v>377</v>
      </c>
      <c r="B54" s="126" t="s">
        <v>1878</v>
      </c>
      <c r="C54" s="12">
        <v>0</v>
      </c>
      <c r="D54" s="12">
        <v>0</v>
      </c>
      <c r="E54" s="12">
        <v>0</v>
      </c>
      <c r="F54" s="12">
        <v>0</v>
      </c>
      <c r="G54" s="12">
        <v>2531.3000000000002</v>
      </c>
      <c r="H54" s="12">
        <v>4500</v>
      </c>
      <c r="I54" s="12">
        <v>4500</v>
      </c>
    </row>
    <row r="55" spans="1:9" ht="13.5" thickBot="1" x14ac:dyDescent="0.25">
      <c r="B55" s="6" t="s">
        <v>1341</v>
      </c>
      <c r="C55" s="36">
        <f t="shared" ref="C55:G55" si="18">SUM(C54)</f>
        <v>0</v>
      </c>
      <c r="D55" s="36">
        <f t="shared" si="18"/>
        <v>0</v>
      </c>
      <c r="E55" s="36">
        <f t="shared" si="18"/>
        <v>0</v>
      </c>
      <c r="F55" s="36">
        <f t="shared" si="18"/>
        <v>0</v>
      </c>
      <c r="G55" s="36">
        <f t="shared" si="18"/>
        <v>2531.3000000000002</v>
      </c>
      <c r="H55" s="36">
        <f t="shared" ref="H55:I55" si="19">SUM(H54)</f>
        <v>4500</v>
      </c>
      <c r="I55" s="36">
        <f t="shared" si="19"/>
        <v>4500</v>
      </c>
    </row>
    <row r="56" spans="1:9" ht="13.5" thickTop="1" x14ac:dyDescent="0.2">
      <c r="C56" s="10"/>
      <c r="D56" s="10"/>
      <c r="E56" s="10"/>
      <c r="F56" s="10"/>
      <c r="G56" s="10"/>
      <c r="H56" s="10"/>
      <c r="I56" s="10"/>
    </row>
    <row r="57" spans="1:9" x14ac:dyDescent="0.2">
      <c r="B57" s="4" t="s">
        <v>653</v>
      </c>
      <c r="C57" s="10"/>
      <c r="D57" s="10"/>
      <c r="E57" s="10"/>
      <c r="F57" s="10"/>
      <c r="G57" s="10"/>
      <c r="H57" s="10"/>
      <c r="I57" s="10"/>
    </row>
    <row r="58" spans="1:9" x14ac:dyDescent="0.2">
      <c r="B58" s="4" t="s">
        <v>1680</v>
      </c>
      <c r="C58" s="10"/>
      <c r="D58" s="10"/>
      <c r="E58" s="10"/>
      <c r="F58" s="10"/>
      <c r="G58" s="10"/>
      <c r="H58" s="10"/>
      <c r="I58" s="10"/>
    </row>
    <row r="59" spans="1:9" x14ac:dyDescent="0.2">
      <c r="B59" s="4" t="s">
        <v>1343</v>
      </c>
      <c r="C59" s="10"/>
      <c r="D59" s="10"/>
      <c r="E59" s="10"/>
      <c r="F59" s="10"/>
      <c r="G59" s="10"/>
      <c r="H59" s="10"/>
      <c r="I59" s="10"/>
    </row>
    <row r="60" spans="1:9" x14ac:dyDescent="0.2">
      <c r="C60" s="129" t="str">
        <f t="shared" ref="C60:I60" si="20">+C$4</f>
        <v>2018 ACTUAL</v>
      </c>
      <c r="D60" s="129" t="str">
        <f t="shared" si="20"/>
        <v>2019 ACTUAL</v>
      </c>
      <c r="E60" s="129" t="str">
        <f t="shared" si="20"/>
        <v>2020 ACTUAL</v>
      </c>
      <c r="F60" s="129" t="str">
        <f t="shared" si="20"/>
        <v>2021 ACTUAL</v>
      </c>
      <c r="G60" s="129" t="str">
        <f t="shared" si="20"/>
        <v>2022 ACTUAL</v>
      </c>
      <c r="H60" s="129" t="str">
        <f t="shared" si="20"/>
        <v xml:space="preserve">2023 BUDGET </v>
      </c>
      <c r="I60" s="129" t="str">
        <f t="shared" si="20"/>
        <v xml:space="preserve">2024 BUDGET </v>
      </c>
    </row>
    <row r="61" spans="1:9" x14ac:dyDescent="0.2">
      <c r="C61" s="112"/>
      <c r="D61" s="112"/>
      <c r="E61" s="112"/>
      <c r="F61" s="112"/>
      <c r="G61" s="112"/>
      <c r="H61" s="112"/>
      <c r="I61" s="112"/>
    </row>
    <row r="62" spans="1:9" x14ac:dyDescent="0.2">
      <c r="B62" t="s">
        <v>1344</v>
      </c>
      <c r="C62" s="10">
        <f>34499-0.36</f>
        <v>34498.639999999999</v>
      </c>
      <c r="D62" s="10">
        <f t="shared" ref="D62:I62" si="21">C70</f>
        <v>41421.519999999997</v>
      </c>
      <c r="E62" s="10">
        <f t="shared" si="21"/>
        <v>47610.11</v>
      </c>
      <c r="F62" s="10">
        <f t="shared" si="21"/>
        <v>53812.07</v>
      </c>
      <c r="G62" s="10">
        <f t="shared" si="21"/>
        <v>60286.76</v>
      </c>
      <c r="H62" s="10">
        <f t="shared" si="21"/>
        <v>60148.67</v>
      </c>
      <c r="I62" s="10">
        <f t="shared" si="21"/>
        <v>58948.67</v>
      </c>
    </row>
    <row r="63" spans="1:9" x14ac:dyDescent="0.2">
      <c r="C63" s="10"/>
      <c r="D63" s="10"/>
      <c r="E63" s="10"/>
      <c r="F63" s="10"/>
      <c r="G63" s="10"/>
      <c r="H63" s="10"/>
      <c r="I63" s="10"/>
    </row>
    <row r="64" spans="1:9" x14ac:dyDescent="0.2">
      <c r="B64" t="s">
        <v>113</v>
      </c>
      <c r="C64" s="10">
        <f t="shared" ref="C64:G64" si="22">C50</f>
        <v>6922.88</v>
      </c>
      <c r="D64" s="10">
        <f t="shared" si="22"/>
        <v>6188.59</v>
      </c>
      <c r="E64" s="10">
        <f t="shared" si="22"/>
        <v>6201.96</v>
      </c>
      <c r="F64" s="10">
        <f t="shared" si="22"/>
        <v>6474.6900000000005</v>
      </c>
      <c r="G64" s="10">
        <f t="shared" si="22"/>
        <v>2393.21</v>
      </c>
      <c r="H64" s="10">
        <f t="shared" ref="H64:I64" si="23">H50</f>
        <v>3300</v>
      </c>
      <c r="I64" s="10">
        <f t="shared" si="23"/>
        <v>950</v>
      </c>
    </row>
    <row r="65" spans="2:9" x14ac:dyDescent="0.2">
      <c r="C65" s="10"/>
      <c r="D65" s="10"/>
      <c r="E65" s="10"/>
      <c r="F65" s="10"/>
      <c r="G65" s="10"/>
      <c r="H65" s="10"/>
      <c r="I65" s="10"/>
    </row>
    <row r="66" spans="2:9" x14ac:dyDescent="0.2">
      <c r="B66" t="s">
        <v>1427</v>
      </c>
      <c r="C66" s="10">
        <f t="shared" ref="C66:G66" si="24">C55</f>
        <v>0</v>
      </c>
      <c r="D66" s="10">
        <f t="shared" si="24"/>
        <v>0</v>
      </c>
      <c r="E66" s="10">
        <f t="shared" si="24"/>
        <v>0</v>
      </c>
      <c r="F66" s="10">
        <f t="shared" si="24"/>
        <v>0</v>
      </c>
      <c r="G66" s="10">
        <f t="shared" si="24"/>
        <v>2531.3000000000002</v>
      </c>
      <c r="H66" s="10">
        <f t="shared" ref="H66:I66" si="25">H55</f>
        <v>4500</v>
      </c>
      <c r="I66" s="10">
        <f t="shared" si="25"/>
        <v>4500</v>
      </c>
    </row>
    <row r="67" spans="2:9" x14ac:dyDescent="0.2">
      <c r="C67" s="10"/>
      <c r="D67" s="10"/>
      <c r="E67" s="10"/>
      <c r="F67" s="10"/>
      <c r="G67" s="10"/>
      <c r="H67" s="10"/>
      <c r="I67" s="10"/>
    </row>
    <row r="68" spans="2:9" x14ac:dyDescent="0.2">
      <c r="B68" t="s">
        <v>1347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</row>
    <row r="69" spans="2:9" x14ac:dyDescent="0.2">
      <c r="C69" s="10"/>
      <c r="D69" s="10"/>
      <c r="E69" s="10"/>
      <c r="F69" s="10"/>
      <c r="G69" s="10"/>
      <c r="H69" s="10"/>
      <c r="I69" s="10"/>
    </row>
    <row r="70" spans="2:9" ht="13.5" thickBot="1" x14ac:dyDescent="0.25">
      <c r="B70" t="s">
        <v>1348</v>
      </c>
      <c r="C70" s="36">
        <f t="shared" ref="C70:G70" si="26">C62+C64-C66+C68</f>
        <v>41421.519999999997</v>
      </c>
      <c r="D70" s="36">
        <f t="shared" si="26"/>
        <v>47610.11</v>
      </c>
      <c r="E70" s="36">
        <f t="shared" si="26"/>
        <v>53812.07</v>
      </c>
      <c r="F70" s="36">
        <f t="shared" si="26"/>
        <v>60286.76</v>
      </c>
      <c r="G70" s="36">
        <f t="shared" si="26"/>
        <v>60148.67</v>
      </c>
      <c r="H70" s="36">
        <f t="shared" ref="H70:I70" si="27">H62+H64-H66+H68</f>
        <v>58948.67</v>
      </c>
      <c r="I70" s="36">
        <f t="shared" si="27"/>
        <v>55398.67</v>
      </c>
    </row>
    <row r="71" spans="2:9" ht="13.5" thickTop="1" x14ac:dyDescent="0.2">
      <c r="C71" s="10"/>
      <c r="D71" s="10"/>
      <c r="E71" s="10"/>
      <c r="F71" s="10"/>
      <c r="G71" s="10"/>
      <c r="H71" s="10"/>
      <c r="I71" s="10"/>
    </row>
    <row r="72" spans="2:9" x14ac:dyDescent="0.2">
      <c r="C72" s="10"/>
      <c r="D72" s="10"/>
      <c r="E72" s="10"/>
      <c r="F72" s="10"/>
      <c r="G72" s="10"/>
      <c r="H72" s="10"/>
      <c r="I72" s="10"/>
    </row>
    <row r="73" spans="2:9" x14ac:dyDescent="0.2">
      <c r="C73" s="10"/>
      <c r="D73" s="10"/>
      <c r="E73" s="10"/>
      <c r="F73" s="10"/>
      <c r="G73" s="10"/>
      <c r="H73" s="10"/>
      <c r="I73" s="10"/>
    </row>
    <row r="74" spans="2:9" x14ac:dyDescent="0.2">
      <c r="C74" s="10"/>
      <c r="D74" s="10"/>
      <c r="E74" s="10"/>
      <c r="F74" s="10"/>
      <c r="G74" s="10"/>
      <c r="H74" s="10"/>
      <c r="I74" s="10"/>
    </row>
    <row r="75" spans="2:9" x14ac:dyDescent="0.2">
      <c r="C75" s="10"/>
      <c r="D75" s="10"/>
      <c r="E75" s="10"/>
      <c r="F75" s="10"/>
      <c r="G75" s="10"/>
      <c r="H75" s="10"/>
      <c r="I75" s="10"/>
    </row>
    <row r="76" spans="2:9" x14ac:dyDescent="0.2">
      <c r="C76" s="10"/>
      <c r="D76" s="10"/>
      <c r="E76" s="10"/>
      <c r="F76" s="10"/>
      <c r="G76" s="10"/>
      <c r="H76" s="10"/>
      <c r="I76" s="10"/>
    </row>
    <row r="77" spans="2:9" x14ac:dyDescent="0.2">
      <c r="B77" s="4" t="s">
        <v>653</v>
      </c>
      <c r="C77" s="10"/>
      <c r="D77" s="10"/>
      <c r="E77" s="10"/>
      <c r="F77" s="10"/>
      <c r="G77" s="10"/>
      <c r="H77" s="10"/>
      <c r="I77" s="10"/>
    </row>
    <row r="78" spans="2:9" x14ac:dyDescent="0.2">
      <c r="B78" s="4" t="s">
        <v>1681</v>
      </c>
      <c r="C78" s="10"/>
      <c r="D78" s="10"/>
      <c r="E78" s="10"/>
      <c r="F78" s="10"/>
      <c r="G78" s="10"/>
      <c r="H78" s="10"/>
      <c r="I78" s="10"/>
    </row>
    <row r="79" spans="2:9" x14ac:dyDescent="0.2">
      <c r="C79" s="10"/>
      <c r="D79" s="10"/>
      <c r="E79" s="10"/>
      <c r="F79" s="10"/>
      <c r="G79" s="10"/>
      <c r="H79" s="10"/>
      <c r="I79" s="10"/>
    </row>
    <row r="80" spans="2:9" x14ac:dyDescent="0.2">
      <c r="C80" s="129" t="str">
        <f t="shared" ref="C80:I80" si="28">+C$4</f>
        <v>2018 ACTUAL</v>
      </c>
      <c r="D80" s="129" t="str">
        <f t="shared" si="28"/>
        <v>2019 ACTUAL</v>
      </c>
      <c r="E80" s="129" t="str">
        <f t="shared" si="28"/>
        <v>2020 ACTUAL</v>
      </c>
      <c r="F80" s="129" t="str">
        <f t="shared" si="28"/>
        <v>2021 ACTUAL</v>
      </c>
      <c r="G80" s="129" t="str">
        <f t="shared" si="28"/>
        <v>2022 ACTUAL</v>
      </c>
      <c r="H80" s="129" t="str">
        <f t="shared" si="28"/>
        <v xml:space="preserve">2023 BUDGET </v>
      </c>
      <c r="I80" s="129" t="str">
        <f t="shared" si="28"/>
        <v xml:space="preserve">2024 BUDGET </v>
      </c>
    </row>
    <row r="81" spans="1:9" x14ac:dyDescent="0.2">
      <c r="A81" s="202" t="s">
        <v>2493</v>
      </c>
      <c r="B81" s="4" t="s">
        <v>313</v>
      </c>
      <c r="C81" s="10"/>
      <c r="D81" s="10"/>
      <c r="E81" s="10"/>
      <c r="F81" s="10"/>
      <c r="G81" s="10"/>
      <c r="H81" s="10"/>
      <c r="I81" s="10"/>
    </row>
    <row r="82" spans="1:9" x14ac:dyDescent="0.2">
      <c r="A82" t="s">
        <v>378</v>
      </c>
      <c r="B82" s="125" t="s">
        <v>2141</v>
      </c>
      <c r="C82" s="10">
        <v>278.95999999999998</v>
      </c>
      <c r="D82" s="10">
        <v>308.19</v>
      </c>
      <c r="E82" s="10">
        <v>346.48</v>
      </c>
      <c r="F82" s="10">
        <v>301.41000000000003</v>
      </c>
      <c r="G82" s="10">
        <v>321.08999999999997</v>
      </c>
      <c r="H82" s="10">
        <v>700</v>
      </c>
      <c r="I82" s="10">
        <v>250</v>
      </c>
    </row>
    <row r="83" spans="1:9" x14ac:dyDescent="0.2">
      <c r="A83" t="s">
        <v>1682</v>
      </c>
      <c r="B83" s="125" t="s">
        <v>2142</v>
      </c>
      <c r="C83" s="10">
        <v>1507.18</v>
      </c>
      <c r="D83" s="10">
        <v>1424.57</v>
      </c>
      <c r="E83" s="10">
        <v>899.81</v>
      </c>
      <c r="F83" s="10">
        <v>1060.55</v>
      </c>
      <c r="G83" s="10">
        <v>957.91</v>
      </c>
      <c r="H83" s="10">
        <v>500</v>
      </c>
      <c r="I83" s="10">
        <v>500</v>
      </c>
    </row>
    <row r="84" spans="1:9" x14ac:dyDescent="0.2">
      <c r="A84" t="s">
        <v>379</v>
      </c>
      <c r="B84" s="125" t="s">
        <v>1761</v>
      </c>
      <c r="C84" s="12">
        <v>15.1</v>
      </c>
      <c r="D84" s="12">
        <v>8.4499999999999993</v>
      </c>
      <c r="E84" s="12">
        <v>11</v>
      </c>
      <c r="F84" s="12">
        <v>19.36</v>
      </c>
      <c r="G84" s="12">
        <v>22.48</v>
      </c>
      <c r="H84" s="10">
        <v>30</v>
      </c>
      <c r="I84" s="10">
        <v>30</v>
      </c>
    </row>
    <row r="85" spans="1:9" ht="13.5" thickBot="1" x14ac:dyDescent="0.25">
      <c r="B85" s="6" t="s">
        <v>137</v>
      </c>
      <c r="C85" s="36">
        <f t="shared" ref="C85:G85" si="29">SUM(C82:C84)</f>
        <v>1801.24</v>
      </c>
      <c r="D85" s="36">
        <f t="shared" si="29"/>
        <v>1741.21</v>
      </c>
      <c r="E85" s="36">
        <f t="shared" si="29"/>
        <v>1257.29</v>
      </c>
      <c r="F85" s="36">
        <f t="shared" si="29"/>
        <v>1381.32</v>
      </c>
      <c r="G85" s="36">
        <f t="shared" si="29"/>
        <v>1301.48</v>
      </c>
      <c r="H85" s="135">
        <f t="shared" ref="H85:I85" si="30">SUM(H82:H84)</f>
        <v>1230</v>
      </c>
      <c r="I85" s="135">
        <f t="shared" si="30"/>
        <v>780</v>
      </c>
    </row>
    <row r="86" spans="1:9" ht="13.5" thickTop="1" x14ac:dyDescent="0.2">
      <c r="C86" s="10"/>
      <c r="D86" s="10"/>
      <c r="E86" s="10"/>
      <c r="F86" s="10"/>
      <c r="G86" s="10"/>
      <c r="H86" s="10"/>
      <c r="I86" s="10"/>
    </row>
    <row r="87" spans="1:9" x14ac:dyDescent="0.2">
      <c r="C87" s="10"/>
      <c r="D87" s="10"/>
      <c r="E87" s="10"/>
      <c r="F87" s="10"/>
      <c r="G87" s="10"/>
      <c r="H87" s="10"/>
      <c r="I87" s="10"/>
    </row>
    <row r="88" spans="1:9" x14ac:dyDescent="0.2">
      <c r="A88" s="203">
        <v>320.69499999999999</v>
      </c>
      <c r="B88" s="4" t="s">
        <v>861</v>
      </c>
      <c r="C88" s="10"/>
      <c r="D88" s="10"/>
      <c r="E88" s="10"/>
      <c r="F88" s="10"/>
      <c r="G88" s="10"/>
      <c r="H88" s="10"/>
      <c r="I88" s="10"/>
    </row>
    <row r="89" spans="1:9" x14ac:dyDescent="0.2">
      <c r="A89" t="s">
        <v>380</v>
      </c>
      <c r="B89" s="126" t="s">
        <v>1878</v>
      </c>
      <c r="C89" s="12">
        <v>2035.81</v>
      </c>
      <c r="D89" s="12">
        <v>0</v>
      </c>
      <c r="E89" s="12">
        <v>0</v>
      </c>
      <c r="F89" s="12">
        <v>0</v>
      </c>
      <c r="G89" s="12">
        <v>0</v>
      </c>
      <c r="H89" s="10">
        <v>1200</v>
      </c>
      <c r="I89" s="10">
        <v>1200</v>
      </c>
    </row>
    <row r="90" spans="1:9" ht="13.5" thickBot="1" x14ac:dyDescent="0.25">
      <c r="B90" s="6" t="s">
        <v>1341</v>
      </c>
      <c r="C90" s="36">
        <f t="shared" ref="C90:G90" si="31">SUM(C89)</f>
        <v>2035.81</v>
      </c>
      <c r="D90" s="36">
        <f t="shared" si="31"/>
        <v>0</v>
      </c>
      <c r="E90" s="36">
        <f t="shared" si="31"/>
        <v>0</v>
      </c>
      <c r="F90" s="36">
        <f t="shared" si="31"/>
        <v>0</v>
      </c>
      <c r="G90" s="36">
        <f t="shared" si="31"/>
        <v>0</v>
      </c>
      <c r="H90" s="135">
        <f t="shared" ref="H90:I90" si="32">SUM(H89)</f>
        <v>1200</v>
      </c>
      <c r="I90" s="135">
        <f t="shared" si="32"/>
        <v>1200</v>
      </c>
    </row>
    <row r="91" spans="1:9" ht="13.5" thickTop="1" x14ac:dyDescent="0.2">
      <c r="C91" s="10"/>
      <c r="D91" s="10"/>
      <c r="E91" s="10"/>
      <c r="F91" s="10"/>
      <c r="G91" s="10"/>
      <c r="H91" s="10"/>
      <c r="I91" s="10"/>
    </row>
    <row r="92" spans="1:9" x14ac:dyDescent="0.2">
      <c r="B92" s="4" t="s">
        <v>653</v>
      </c>
      <c r="C92" s="10"/>
      <c r="D92" s="10"/>
      <c r="E92" s="10"/>
      <c r="F92" s="10"/>
      <c r="G92" s="10"/>
      <c r="H92" s="10"/>
      <c r="I92" s="10"/>
    </row>
    <row r="93" spans="1:9" x14ac:dyDescent="0.2">
      <c r="B93" s="4" t="s">
        <v>1681</v>
      </c>
      <c r="C93" s="10"/>
      <c r="D93" s="10"/>
      <c r="E93" s="10"/>
      <c r="F93" s="10"/>
      <c r="G93" s="10"/>
      <c r="H93" s="10"/>
      <c r="I93" s="10"/>
    </row>
    <row r="94" spans="1:9" x14ac:dyDescent="0.2">
      <c r="B94" s="4" t="s">
        <v>1343</v>
      </c>
      <c r="C94" s="10"/>
      <c r="D94" s="10"/>
      <c r="E94" s="10"/>
      <c r="F94" s="10"/>
      <c r="G94" s="10"/>
      <c r="H94" s="10"/>
      <c r="I94" s="10"/>
    </row>
    <row r="95" spans="1:9" x14ac:dyDescent="0.2">
      <c r="C95" s="129" t="str">
        <f t="shared" ref="C95:I95" si="33">+C$4</f>
        <v>2018 ACTUAL</v>
      </c>
      <c r="D95" s="129" t="str">
        <f t="shared" si="33"/>
        <v>2019 ACTUAL</v>
      </c>
      <c r="E95" s="129" t="str">
        <f t="shared" si="33"/>
        <v>2020 ACTUAL</v>
      </c>
      <c r="F95" s="129" t="str">
        <f t="shared" si="33"/>
        <v>2021 ACTUAL</v>
      </c>
      <c r="G95" s="129" t="str">
        <f t="shared" si="33"/>
        <v>2022 ACTUAL</v>
      </c>
      <c r="H95" s="129" t="str">
        <f t="shared" si="33"/>
        <v xml:space="preserve">2023 BUDGET </v>
      </c>
      <c r="I95" s="129" t="str">
        <f t="shared" si="33"/>
        <v xml:space="preserve">2024 BUDGET </v>
      </c>
    </row>
    <row r="96" spans="1:9" x14ac:dyDescent="0.2">
      <c r="C96" s="112"/>
      <c r="D96" s="112"/>
      <c r="E96" s="112"/>
      <c r="F96" s="112"/>
      <c r="G96" s="112"/>
      <c r="H96" s="112"/>
      <c r="I96" s="112"/>
    </row>
    <row r="97" spans="2:9" x14ac:dyDescent="0.2">
      <c r="B97" t="s">
        <v>1344</v>
      </c>
      <c r="C97" s="10">
        <v>3183.69</v>
      </c>
      <c r="D97" s="10">
        <f t="shared" ref="D97:I97" si="34">C105</f>
        <v>2949.1200000000003</v>
      </c>
      <c r="E97" s="10">
        <f t="shared" si="34"/>
        <v>4690.33</v>
      </c>
      <c r="F97" s="10">
        <f t="shared" si="34"/>
        <v>5947.62</v>
      </c>
      <c r="G97" s="10">
        <f t="shared" si="34"/>
        <v>7328.94</v>
      </c>
      <c r="H97" s="10">
        <f t="shared" si="34"/>
        <v>8630.42</v>
      </c>
      <c r="I97" s="10">
        <f t="shared" si="34"/>
        <v>8660.42</v>
      </c>
    </row>
    <row r="98" spans="2:9" x14ac:dyDescent="0.2">
      <c r="C98" s="10"/>
      <c r="D98" s="10"/>
      <c r="E98" s="10"/>
      <c r="F98" s="10"/>
      <c r="G98" s="10"/>
      <c r="H98" s="10"/>
      <c r="I98" s="10"/>
    </row>
    <row r="99" spans="2:9" x14ac:dyDescent="0.2">
      <c r="B99" t="s">
        <v>113</v>
      </c>
      <c r="C99" s="10">
        <f t="shared" ref="C99:G99" si="35">C85</f>
        <v>1801.24</v>
      </c>
      <c r="D99" s="10">
        <f t="shared" si="35"/>
        <v>1741.21</v>
      </c>
      <c r="E99" s="10">
        <f t="shared" si="35"/>
        <v>1257.29</v>
      </c>
      <c r="F99" s="10">
        <f t="shared" si="35"/>
        <v>1381.32</v>
      </c>
      <c r="G99" s="10">
        <f t="shared" si="35"/>
        <v>1301.48</v>
      </c>
      <c r="H99" s="10">
        <f t="shared" ref="H99:I99" si="36">H85</f>
        <v>1230</v>
      </c>
      <c r="I99" s="10">
        <f t="shared" si="36"/>
        <v>780</v>
      </c>
    </row>
    <row r="100" spans="2:9" x14ac:dyDescent="0.2">
      <c r="C100" s="10"/>
      <c r="D100" s="10"/>
      <c r="E100" s="10"/>
      <c r="F100" s="10"/>
      <c r="G100" s="10"/>
      <c r="H100" s="10"/>
      <c r="I100" s="10"/>
    </row>
    <row r="101" spans="2:9" x14ac:dyDescent="0.2">
      <c r="B101" t="s">
        <v>1427</v>
      </c>
      <c r="C101" s="10">
        <f t="shared" ref="C101:G101" si="37">C90</f>
        <v>2035.81</v>
      </c>
      <c r="D101" s="10">
        <f t="shared" si="37"/>
        <v>0</v>
      </c>
      <c r="E101" s="10">
        <f t="shared" si="37"/>
        <v>0</v>
      </c>
      <c r="F101" s="10">
        <f t="shared" si="37"/>
        <v>0</v>
      </c>
      <c r="G101" s="10">
        <f t="shared" si="37"/>
        <v>0</v>
      </c>
      <c r="H101" s="10">
        <f t="shared" ref="H101:I101" si="38">H90</f>
        <v>1200</v>
      </c>
      <c r="I101" s="10">
        <f t="shared" si="38"/>
        <v>1200</v>
      </c>
    </row>
    <row r="102" spans="2:9" x14ac:dyDescent="0.2">
      <c r="C102" s="10"/>
      <c r="D102" s="10"/>
      <c r="E102" s="10"/>
      <c r="F102" s="10"/>
      <c r="G102" s="10"/>
      <c r="H102" s="10"/>
      <c r="I102" s="10"/>
    </row>
    <row r="103" spans="2:9" x14ac:dyDescent="0.2">
      <c r="B103" t="s">
        <v>1347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</row>
    <row r="104" spans="2:9" x14ac:dyDescent="0.2">
      <c r="C104" s="10"/>
      <c r="D104" s="10"/>
      <c r="E104" s="10"/>
      <c r="F104" s="10"/>
      <c r="G104" s="10"/>
      <c r="H104" s="10"/>
      <c r="I104" s="10"/>
    </row>
    <row r="105" spans="2:9" ht="13.5" thickBot="1" x14ac:dyDescent="0.25">
      <c r="B105" t="s">
        <v>1348</v>
      </c>
      <c r="C105" s="36">
        <f t="shared" ref="C105:G105" si="39">C97+C99-C101+C103</f>
        <v>2949.1200000000003</v>
      </c>
      <c r="D105" s="36">
        <f t="shared" si="39"/>
        <v>4690.33</v>
      </c>
      <c r="E105" s="36">
        <f t="shared" si="39"/>
        <v>5947.62</v>
      </c>
      <c r="F105" s="36">
        <f t="shared" si="39"/>
        <v>7328.94</v>
      </c>
      <c r="G105" s="36">
        <f t="shared" si="39"/>
        <v>8630.42</v>
      </c>
      <c r="H105" s="36">
        <f t="shared" ref="H105:I105" si="40">H97+H99-H101+H103</f>
        <v>8660.42</v>
      </c>
      <c r="I105" s="36">
        <f t="shared" si="40"/>
        <v>8240.42</v>
      </c>
    </row>
    <row r="106" spans="2:9" ht="13.5" thickTop="1" x14ac:dyDescent="0.2"/>
    <row r="107" spans="2:9" x14ac:dyDescent="0.2">
      <c r="C107" s="120"/>
    </row>
  </sheetData>
  <phoneticPr fontId="2" type="noConversion"/>
  <pageMargins left="0.5" right="0.5" top="1" bottom="1" header="0.5" footer="0.5"/>
  <pageSetup scale="78" firstPageNumber="32" fitToHeight="0" orientation="portrait" useFirstPageNumber="1" r:id="rId1"/>
  <headerFooter alignWithMargins="0">
    <oddFooter>&amp;C&amp;P</oddFooter>
  </headerFooter>
  <rowBreaks count="2" manualBreakCount="2">
    <brk id="40" max="8" man="1"/>
    <brk id="7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36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3.710937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10" x14ac:dyDescent="0.2">
      <c r="A1" s="16" t="s">
        <v>1433</v>
      </c>
      <c r="B1" s="4" t="s">
        <v>653</v>
      </c>
      <c r="C1" s="1" t="s">
        <v>1433</v>
      </c>
      <c r="D1" s="1" t="s">
        <v>1433</v>
      </c>
      <c r="E1" s="1" t="s">
        <v>1433</v>
      </c>
      <c r="F1" s="1" t="s">
        <v>1433</v>
      </c>
      <c r="G1" s="1" t="s">
        <v>1433</v>
      </c>
    </row>
    <row r="2" spans="1:10" x14ac:dyDescent="0.2">
      <c r="A2" s="16"/>
      <c r="B2" s="4" t="s">
        <v>1202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3" spans="1:10" x14ac:dyDescent="0.2">
      <c r="A3" s="16"/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10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10" x14ac:dyDescent="0.2">
      <c r="A5" s="206" t="s">
        <v>2466</v>
      </c>
      <c r="B5" s="4" t="s">
        <v>313</v>
      </c>
    </row>
    <row r="6" spans="1:10" x14ac:dyDescent="0.2">
      <c r="A6" s="16" t="s">
        <v>1370</v>
      </c>
      <c r="B6" s="125" t="s">
        <v>2149</v>
      </c>
      <c r="C6" s="10">
        <v>20114.8</v>
      </c>
      <c r="D6" s="10">
        <v>17683.54</v>
      </c>
      <c r="E6" s="10">
        <v>7000.41</v>
      </c>
      <c r="F6" s="10">
        <v>1426.04</v>
      </c>
      <c r="G6" s="10">
        <v>647.59</v>
      </c>
      <c r="H6" s="10">
        <v>1000</v>
      </c>
      <c r="I6" s="10">
        <v>500</v>
      </c>
    </row>
    <row r="7" spans="1:10" x14ac:dyDescent="0.2">
      <c r="A7" s="52" t="s">
        <v>1614</v>
      </c>
      <c r="B7" s="126" t="s">
        <v>2150</v>
      </c>
      <c r="C7" s="10">
        <v>8393.8799999999992</v>
      </c>
      <c r="D7" s="10">
        <v>5858.3</v>
      </c>
      <c r="E7" s="10">
        <v>9191.82</v>
      </c>
      <c r="F7" s="10">
        <v>14040.24</v>
      </c>
      <c r="G7" s="10">
        <v>15349.9</v>
      </c>
      <c r="H7" s="10">
        <v>12000</v>
      </c>
      <c r="I7" s="10">
        <v>10750</v>
      </c>
    </row>
    <row r="8" spans="1:10" x14ac:dyDescent="0.2">
      <c r="A8" s="16" t="s">
        <v>1371</v>
      </c>
      <c r="B8" s="125" t="s">
        <v>1761</v>
      </c>
      <c r="C8" s="12">
        <v>176.07</v>
      </c>
      <c r="D8" s="12">
        <v>133.03</v>
      </c>
      <c r="E8" s="12">
        <v>125.66</v>
      </c>
      <c r="F8" s="12">
        <v>162.80000000000001</v>
      </c>
      <c r="G8" s="12">
        <v>147.47</v>
      </c>
      <c r="H8" s="10">
        <v>20</v>
      </c>
      <c r="I8" s="10">
        <f>+H8</f>
        <v>20</v>
      </c>
    </row>
    <row r="9" spans="1:10" ht="13.5" thickBot="1" x14ac:dyDescent="0.25">
      <c r="A9" s="16" t="s">
        <v>1433</v>
      </c>
      <c r="B9" s="6" t="s">
        <v>137</v>
      </c>
      <c r="C9" s="36">
        <f t="shared" ref="C9:G9" si="0">SUM(C6:C8)</f>
        <v>28684.75</v>
      </c>
      <c r="D9" s="36">
        <f t="shared" si="0"/>
        <v>23674.87</v>
      </c>
      <c r="E9" s="36">
        <f t="shared" si="0"/>
        <v>16317.89</v>
      </c>
      <c r="F9" s="36">
        <f t="shared" si="0"/>
        <v>15629.079999999998</v>
      </c>
      <c r="G9" s="36">
        <f t="shared" si="0"/>
        <v>16144.96</v>
      </c>
      <c r="H9" s="135">
        <f t="shared" ref="H9:I9" si="1">SUM(H6:H8)</f>
        <v>13020</v>
      </c>
      <c r="I9" s="135">
        <f t="shared" si="1"/>
        <v>11270</v>
      </c>
    </row>
    <row r="10" spans="1:10" ht="13.5" thickTop="1" x14ac:dyDescent="0.2">
      <c r="A10" s="16"/>
      <c r="C10" s="10"/>
      <c r="D10" s="10"/>
      <c r="E10" s="10"/>
      <c r="F10" s="10"/>
      <c r="G10" s="10"/>
      <c r="H10" s="10"/>
      <c r="I10" s="10"/>
    </row>
    <row r="11" spans="1:10" x14ac:dyDescent="0.2">
      <c r="A11" s="206" t="s">
        <v>2467</v>
      </c>
      <c r="B11" s="4" t="s">
        <v>861</v>
      </c>
      <c r="C11" s="10"/>
      <c r="D11" s="10"/>
      <c r="E11" s="10"/>
      <c r="F11" s="10"/>
      <c r="G11" s="10"/>
      <c r="H11" s="10"/>
      <c r="I11" s="10"/>
    </row>
    <row r="12" spans="1:10" x14ac:dyDescent="0.2">
      <c r="A12" s="16" t="s">
        <v>1203</v>
      </c>
      <c r="B12" s="126" t="s">
        <v>1984</v>
      </c>
      <c r="C12" s="10">
        <v>6453.95</v>
      </c>
      <c r="D12" s="10">
        <v>14597.39</v>
      </c>
      <c r="E12" s="10">
        <v>14752.14</v>
      </c>
      <c r="F12" s="10">
        <v>14042.9</v>
      </c>
      <c r="G12" s="10">
        <v>15486.95</v>
      </c>
      <c r="H12" s="10">
        <v>15825</v>
      </c>
      <c r="I12" s="10">
        <v>16616</v>
      </c>
    </row>
    <row r="13" spans="1:10" x14ac:dyDescent="0.2">
      <c r="A13" s="16" t="s">
        <v>1204</v>
      </c>
      <c r="B13" s="126" t="s">
        <v>1891</v>
      </c>
      <c r="C13" s="10">
        <v>493.68</v>
      </c>
      <c r="D13" s="10">
        <v>1229.04</v>
      </c>
      <c r="E13" s="10">
        <v>1243.06</v>
      </c>
      <c r="F13" s="10">
        <v>1188.82</v>
      </c>
      <c r="G13" s="10">
        <v>1305.3499999999999</v>
      </c>
      <c r="H13" s="10">
        <v>1517</v>
      </c>
      <c r="I13" s="10">
        <v>1577</v>
      </c>
    </row>
    <row r="14" spans="1:10" x14ac:dyDescent="0.2">
      <c r="A14" s="16" t="s">
        <v>1087</v>
      </c>
      <c r="B14" s="126" t="s">
        <v>1892</v>
      </c>
      <c r="C14" s="10">
        <v>754.97</v>
      </c>
      <c r="D14" s="10">
        <v>1732.89</v>
      </c>
      <c r="E14" s="10">
        <v>1816</v>
      </c>
      <c r="F14" s="10">
        <v>1756.94</v>
      </c>
      <c r="G14" s="10">
        <v>1930.66</v>
      </c>
      <c r="H14" s="10">
        <v>1969</v>
      </c>
      <c r="I14" s="10">
        <v>2567</v>
      </c>
    </row>
    <row r="15" spans="1:10" x14ac:dyDescent="0.2">
      <c r="A15" s="16" t="s">
        <v>1205</v>
      </c>
      <c r="B15" s="126" t="s">
        <v>1894</v>
      </c>
      <c r="C15" s="10">
        <v>0</v>
      </c>
      <c r="D15" s="10">
        <v>1471.1</v>
      </c>
      <c r="E15" s="10">
        <v>1499.94</v>
      </c>
      <c r="F15" s="10">
        <v>1499.94</v>
      </c>
      <c r="G15" s="10">
        <v>1576.86</v>
      </c>
      <c r="H15" s="10">
        <v>4000</v>
      </c>
      <c r="I15" s="10">
        <v>4000</v>
      </c>
      <c r="J15" s="208"/>
    </row>
    <row r="16" spans="1:10" x14ac:dyDescent="0.2">
      <c r="A16" s="16" t="s">
        <v>1206</v>
      </c>
      <c r="B16" s="126" t="s">
        <v>1895</v>
      </c>
      <c r="C16" s="10">
        <v>0</v>
      </c>
      <c r="D16" s="10">
        <v>143</v>
      </c>
      <c r="E16" s="10">
        <v>296.95999999999998</v>
      </c>
      <c r="F16" s="10">
        <v>180.68</v>
      </c>
      <c r="G16" s="10">
        <v>277.66000000000003</v>
      </c>
      <c r="H16" s="10">
        <v>700</v>
      </c>
      <c r="I16" s="10">
        <v>700</v>
      </c>
      <c r="J16" s="208"/>
    </row>
    <row r="17" spans="1:10" x14ac:dyDescent="0.2">
      <c r="A17" s="16" t="s">
        <v>1812</v>
      </c>
      <c r="B17" s="126" t="s">
        <v>1898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1000</v>
      </c>
      <c r="I17" s="10">
        <v>1000</v>
      </c>
      <c r="J17" s="208"/>
    </row>
    <row r="18" spans="1:10" ht="13.5" thickBot="1" x14ac:dyDescent="0.25">
      <c r="A18" s="16"/>
      <c r="B18" s="6" t="s">
        <v>1341</v>
      </c>
      <c r="C18" s="135">
        <f t="shared" ref="C18:D18" si="2">SUM(C12:C17)</f>
        <v>7702.6</v>
      </c>
      <c r="D18" s="135">
        <f t="shared" si="2"/>
        <v>19173.419999999998</v>
      </c>
      <c r="E18" s="135">
        <f>SUM(E12:E17)</f>
        <v>19608.099999999995</v>
      </c>
      <c r="F18" s="135">
        <f>SUM(F12:F17)</f>
        <v>18669.28</v>
      </c>
      <c r="G18" s="135">
        <f>SUM(G12:G17)</f>
        <v>20577.48</v>
      </c>
      <c r="H18" s="135">
        <f>SUM(H12:H17)</f>
        <v>25011</v>
      </c>
      <c r="I18" s="135">
        <f>SUM(I12:I17)</f>
        <v>26460</v>
      </c>
    </row>
    <row r="19" spans="1:10" ht="13.5" thickTop="1" x14ac:dyDescent="0.2">
      <c r="A19" s="16"/>
      <c r="C19" s="10"/>
      <c r="D19" s="10"/>
      <c r="E19" s="10"/>
      <c r="F19" s="10"/>
      <c r="G19" s="10"/>
      <c r="H19" s="10"/>
      <c r="I19" s="10"/>
    </row>
    <row r="20" spans="1:10" x14ac:dyDescent="0.2">
      <c r="A20" s="16"/>
      <c r="B20" s="4" t="s">
        <v>653</v>
      </c>
      <c r="C20" s="10"/>
      <c r="D20" s="10"/>
      <c r="E20" s="10"/>
      <c r="F20" s="10"/>
      <c r="G20" s="10"/>
      <c r="H20" s="10"/>
      <c r="I20" s="10"/>
    </row>
    <row r="21" spans="1:10" x14ac:dyDescent="0.2">
      <c r="A21" s="16"/>
      <c r="B21" s="4" t="s">
        <v>1202</v>
      </c>
      <c r="C21" s="10"/>
      <c r="D21" s="10"/>
      <c r="E21" s="10"/>
      <c r="F21" s="10"/>
      <c r="G21" s="10"/>
      <c r="H21" s="10"/>
      <c r="I21" s="10"/>
    </row>
    <row r="22" spans="1:10" x14ac:dyDescent="0.2">
      <c r="A22" s="16"/>
      <c r="B22" s="4" t="s">
        <v>1343</v>
      </c>
      <c r="C22" s="10"/>
      <c r="D22" s="10"/>
      <c r="E22" s="10"/>
      <c r="F22" s="10"/>
      <c r="G22" s="10"/>
      <c r="H22" s="10"/>
      <c r="I22" s="10"/>
    </row>
    <row r="23" spans="1:10" x14ac:dyDescent="0.2">
      <c r="A23" s="16"/>
      <c r="C23" s="129" t="str">
        <f t="shared" ref="C23:D23" si="3">+C4</f>
        <v>2018 ACTUAL</v>
      </c>
      <c r="D23" s="129" t="str">
        <f t="shared" si="3"/>
        <v>2019 ACTUAL</v>
      </c>
      <c r="E23" s="129" t="str">
        <f t="shared" ref="E23:F23" si="4">+E4</f>
        <v>2020 ACTUAL</v>
      </c>
      <c r="F23" s="129" t="str">
        <f t="shared" si="4"/>
        <v>2021 ACTUAL</v>
      </c>
      <c r="G23" s="129" t="str">
        <f t="shared" ref="G23:H23" si="5">+G4</f>
        <v>2022 ACTUAL</v>
      </c>
      <c r="H23" s="129" t="str">
        <f t="shared" si="5"/>
        <v xml:space="preserve">2023 BUDGET </v>
      </c>
      <c r="I23" s="129" t="str">
        <f t="shared" ref="I23" si="6">+I4</f>
        <v xml:space="preserve">2024 BUDGET </v>
      </c>
    </row>
    <row r="24" spans="1:10" x14ac:dyDescent="0.2">
      <c r="A24" s="16" t="s">
        <v>1433</v>
      </c>
      <c r="C24" s="112"/>
      <c r="D24" s="112"/>
      <c r="E24" s="112"/>
      <c r="F24" s="112"/>
      <c r="G24" s="112"/>
      <c r="H24" s="112"/>
      <c r="I24" s="112"/>
    </row>
    <row r="25" spans="1:10" x14ac:dyDescent="0.2">
      <c r="A25" s="16"/>
      <c r="B25" t="s">
        <v>1344</v>
      </c>
      <c r="C25" s="10">
        <v>36497.22</v>
      </c>
      <c r="D25" s="10">
        <f t="shared" ref="D25:I25" si="7">C33</f>
        <v>57479.37</v>
      </c>
      <c r="E25" s="10">
        <f t="shared" si="7"/>
        <v>61980.820000000007</v>
      </c>
      <c r="F25" s="10">
        <f t="shared" si="7"/>
        <v>58690.610000000015</v>
      </c>
      <c r="G25" s="10">
        <f t="shared" si="7"/>
        <v>55650.410000000018</v>
      </c>
      <c r="H25" s="10">
        <f t="shared" si="7"/>
        <v>51217.890000000029</v>
      </c>
      <c r="I25" s="10">
        <f t="shared" si="7"/>
        <v>39226.890000000029</v>
      </c>
    </row>
    <row r="26" spans="1:10" x14ac:dyDescent="0.2">
      <c r="A26" t="s">
        <v>1433</v>
      </c>
      <c r="C26" s="10"/>
      <c r="D26" s="10"/>
      <c r="E26" s="10"/>
      <c r="F26" s="10"/>
      <c r="G26" s="10"/>
      <c r="H26" s="10"/>
      <c r="I26" s="10"/>
    </row>
    <row r="27" spans="1:10" x14ac:dyDescent="0.2">
      <c r="A27" s="16"/>
      <c r="B27" t="s">
        <v>113</v>
      </c>
      <c r="C27" s="10">
        <f t="shared" ref="C27:G27" si="8">C9</f>
        <v>28684.75</v>
      </c>
      <c r="D27" s="10">
        <f t="shared" si="8"/>
        <v>23674.87</v>
      </c>
      <c r="E27" s="10">
        <f t="shared" si="8"/>
        <v>16317.89</v>
      </c>
      <c r="F27" s="10">
        <f t="shared" si="8"/>
        <v>15629.079999999998</v>
      </c>
      <c r="G27" s="10">
        <f t="shared" si="8"/>
        <v>16144.96</v>
      </c>
      <c r="H27" s="10">
        <f t="shared" ref="H27:I27" si="9">H9</f>
        <v>13020</v>
      </c>
      <c r="I27" s="10">
        <f t="shared" si="9"/>
        <v>11270</v>
      </c>
    </row>
    <row r="28" spans="1:10" x14ac:dyDescent="0.2">
      <c r="A28" s="16"/>
      <c r="C28" s="10"/>
      <c r="D28" s="10"/>
      <c r="E28" s="10"/>
      <c r="F28" s="10"/>
      <c r="G28" s="10"/>
      <c r="H28" s="10"/>
      <c r="I28" s="10"/>
    </row>
    <row r="29" spans="1:10" x14ac:dyDescent="0.2">
      <c r="A29" s="16"/>
      <c r="B29" t="s">
        <v>1427</v>
      </c>
      <c r="C29" s="10">
        <f t="shared" ref="C29:G29" si="10">C18</f>
        <v>7702.6</v>
      </c>
      <c r="D29" s="10">
        <f t="shared" si="10"/>
        <v>19173.419999999998</v>
      </c>
      <c r="E29" s="10">
        <f t="shared" si="10"/>
        <v>19608.099999999995</v>
      </c>
      <c r="F29" s="10">
        <f t="shared" si="10"/>
        <v>18669.28</v>
      </c>
      <c r="G29" s="10">
        <f t="shared" si="10"/>
        <v>20577.48</v>
      </c>
      <c r="H29" s="10">
        <f t="shared" ref="H29:I29" si="11">H18</f>
        <v>25011</v>
      </c>
      <c r="I29" s="10">
        <f t="shared" si="11"/>
        <v>26460</v>
      </c>
    </row>
    <row r="30" spans="1:10" x14ac:dyDescent="0.2">
      <c r="A30" s="16"/>
      <c r="C30" s="10"/>
      <c r="D30" s="10"/>
      <c r="E30" s="10"/>
      <c r="F30" s="10"/>
      <c r="G30" s="10"/>
      <c r="H30" s="10"/>
      <c r="I30" s="10"/>
    </row>
    <row r="31" spans="1:10" x14ac:dyDescent="0.2">
      <c r="A31" s="16"/>
      <c r="B31" t="s">
        <v>1347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0" x14ac:dyDescent="0.2">
      <c r="C32" s="10"/>
      <c r="D32" s="10"/>
      <c r="E32" s="10"/>
      <c r="F32" s="10"/>
      <c r="G32" s="10"/>
      <c r="H32" s="10"/>
      <c r="I32" s="10"/>
    </row>
    <row r="33" spans="2:9" ht="13.5" thickBot="1" x14ac:dyDescent="0.25">
      <c r="B33" t="s">
        <v>1348</v>
      </c>
      <c r="C33" s="36">
        <f t="shared" ref="C33:G33" si="12">C25+C27-C29+C31</f>
        <v>57479.37</v>
      </c>
      <c r="D33" s="36">
        <f t="shared" si="12"/>
        <v>61980.820000000007</v>
      </c>
      <c r="E33" s="36">
        <f t="shared" si="12"/>
        <v>58690.610000000015</v>
      </c>
      <c r="F33" s="36">
        <f t="shared" si="12"/>
        <v>55650.410000000018</v>
      </c>
      <c r="G33" s="36">
        <f t="shared" si="12"/>
        <v>51217.890000000029</v>
      </c>
      <c r="H33" s="36">
        <f t="shared" ref="H33:I33" si="13">H25+H27-H29+H31</f>
        <v>39226.890000000029</v>
      </c>
      <c r="I33" s="36">
        <f t="shared" si="13"/>
        <v>24036.890000000029</v>
      </c>
    </row>
    <row r="34" spans="2:9" ht="13.5" thickTop="1" x14ac:dyDescent="0.2"/>
    <row r="35" spans="2:9" x14ac:dyDescent="0.2">
      <c r="D35" s="10"/>
      <c r="E35" s="115"/>
      <c r="G35" s="10"/>
    </row>
    <row r="36" spans="2:9" x14ac:dyDescent="0.2">
      <c r="C36" s="10"/>
    </row>
  </sheetData>
  <phoneticPr fontId="2" type="noConversion"/>
  <pageMargins left="0.5" right="0.5" top="1" bottom="1" header="0.5" footer="0.5"/>
  <pageSetup scale="78" firstPageNumber="35" fitToHeight="0" orientation="portrait" useFirstPageNumber="1" r:id="rId1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I125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3.285156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s="16" t="s">
        <v>1433</v>
      </c>
      <c r="B1" s="4" t="s">
        <v>653</v>
      </c>
      <c r="C1" s="1" t="s">
        <v>1433</v>
      </c>
      <c r="D1" s="1" t="s">
        <v>1433</v>
      </c>
      <c r="E1" s="1" t="s">
        <v>1433</v>
      </c>
      <c r="F1" s="1" t="s">
        <v>1433</v>
      </c>
      <c r="G1" s="1" t="s">
        <v>1433</v>
      </c>
    </row>
    <row r="2" spans="1:9" x14ac:dyDescent="0.2">
      <c r="A2" s="16"/>
      <c r="B2" s="4" t="s">
        <v>607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4" spans="1:9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206" t="s">
        <v>2468</v>
      </c>
      <c r="B5" s="4" t="s">
        <v>313</v>
      </c>
    </row>
    <row r="6" spans="1:9" x14ac:dyDescent="0.2">
      <c r="A6" s="16" t="s">
        <v>1372</v>
      </c>
      <c r="B6" s="125" t="s">
        <v>660</v>
      </c>
      <c r="C6" s="10">
        <v>13650.69</v>
      </c>
      <c r="D6" s="10">
        <v>17605</v>
      </c>
      <c r="E6" s="10">
        <v>15610</v>
      </c>
      <c r="F6" s="10">
        <v>15410.44</v>
      </c>
      <c r="G6" s="10">
        <v>14945</v>
      </c>
      <c r="H6" s="10">
        <v>15000</v>
      </c>
      <c r="I6" s="10">
        <v>15000</v>
      </c>
    </row>
    <row r="7" spans="1:9" x14ac:dyDescent="0.2">
      <c r="A7" s="16" t="s">
        <v>1373</v>
      </c>
      <c r="B7" s="125" t="s">
        <v>663</v>
      </c>
      <c r="C7" s="10">
        <v>22763.86</v>
      </c>
      <c r="D7" s="10">
        <v>21992.91</v>
      </c>
      <c r="E7" s="10">
        <v>21226.63</v>
      </c>
      <c r="F7" s="10">
        <v>22693.3</v>
      </c>
      <c r="G7" s="10">
        <v>21085.58</v>
      </c>
      <c r="H7" s="10">
        <v>20000</v>
      </c>
      <c r="I7" s="10">
        <v>20000</v>
      </c>
    </row>
    <row r="8" spans="1:9" x14ac:dyDescent="0.2">
      <c r="A8" s="16" t="s">
        <v>1374</v>
      </c>
      <c r="B8" s="125" t="s">
        <v>1761</v>
      </c>
      <c r="C8" s="10">
        <v>1175.42</v>
      </c>
      <c r="D8" s="10">
        <v>1180.73</v>
      </c>
      <c r="E8" s="10">
        <v>611.42999999999995</v>
      </c>
      <c r="F8" s="10">
        <v>112.48</v>
      </c>
      <c r="G8" s="10">
        <v>421.95</v>
      </c>
      <c r="H8" s="10">
        <v>200</v>
      </c>
      <c r="I8" s="10">
        <v>200</v>
      </c>
    </row>
    <row r="9" spans="1:9" x14ac:dyDescent="0.2">
      <c r="A9" s="16" t="s">
        <v>1375</v>
      </c>
      <c r="B9" s="125" t="s">
        <v>1878</v>
      </c>
      <c r="C9" s="12">
        <v>190</v>
      </c>
      <c r="D9" s="12">
        <v>0</v>
      </c>
      <c r="E9" s="12">
        <v>0</v>
      </c>
      <c r="F9" s="12">
        <v>0</v>
      </c>
      <c r="G9" s="12">
        <v>0</v>
      </c>
      <c r="H9" s="10">
        <v>100</v>
      </c>
      <c r="I9" s="10">
        <v>100</v>
      </c>
    </row>
    <row r="10" spans="1:9" ht="13.5" thickBot="1" x14ac:dyDescent="0.25">
      <c r="A10" s="16" t="s">
        <v>1433</v>
      </c>
      <c r="B10" s="6" t="s">
        <v>137</v>
      </c>
      <c r="C10" s="36">
        <f t="shared" ref="C10:G10" si="0">SUM(C6:C9)</f>
        <v>37779.97</v>
      </c>
      <c r="D10" s="36">
        <f t="shared" si="0"/>
        <v>40778.640000000007</v>
      </c>
      <c r="E10" s="36">
        <f t="shared" si="0"/>
        <v>37448.060000000005</v>
      </c>
      <c r="F10" s="36">
        <f t="shared" si="0"/>
        <v>38216.22</v>
      </c>
      <c r="G10" s="36">
        <f t="shared" si="0"/>
        <v>36452.53</v>
      </c>
      <c r="H10" s="135">
        <f t="shared" ref="H10:I10" si="1">SUM(H6:H9)</f>
        <v>35300</v>
      </c>
      <c r="I10" s="135">
        <f t="shared" si="1"/>
        <v>35300</v>
      </c>
    </row>
    <row r="11" spans="1:9" ht="13.5" thickTop="1" x14ac:dyDescent="0.2">
      <c r="A11" s="16"/>
      <c r="C11" s="10"/>
      <c r="D11" s="10"/>
      <c r="E11" s="10"/>
      <c r="F11" s="10"/>
      <c r="G11" s="10"/>
      <c r="H11" s="10"/>
      <c r="I11" s="10"/>
    </row>
    <row r="12" spans="1:9" x14ac:dyDescent="0.2">
      <c r="A12" s="198" t="s">
        <v>2469</v>
      </c>
      <c r="B12" s="4" t="s">
        <v>861</v>
      </c>
      <c r="C12" s="10"/>
      <c r="D12" s="10"/>
      <c r="E12" s="10"/>
      <c r="F12" s="10"/>
      <c r="G12" s="10"/>
      <c r="H12" s="10"/>
      <c r="I12" s="10"/>
    </row>
    <row r="13" spans="1:9" x14ac:dyDescent="0.2">
      <c r="A13" s="16" t="s">
        <v>608</v>
      </c>
      <c r="B13" s="126" t="s">
        <v>1885</v>
      </c>
      <c r="C13" s="10">
        <v>5600</v>
      </c>
      <c r="D13" s="10">
        <v>5600.14</v>
      </c>
      <c r="E13" s="10">
        <v>5600.14</v>
      </c>
      <c r="F13" s="10">
        <v>5600.14</v>
      </c>
      <c r="G13" s="10">
        <v>5492.45</v>
      </c>
      <c r="H13" s="10">
        <v>5600</v>
      </c>
      <c r="I13" s="10">
        <v>5600</v>
      </c>
    </row>
    <row r="14" spans="1:9" x14ac:dyDescent="0.2">
      <c r="A14" s="16" t="s">
        <v>1429</v>
      </c>
      <c r="B14" s="126" t="s">
        <v>2151</v>
      </c>
      <c r="C14" s="10">
        <v>35333.08</v>
      </c>
      <c r="D14" s="10">
        <v>31407.119999999999</v>
      </c>
      <c r="E14" s="10">
        <v>34749.99</v>
      </c>
      <c r="F14" s="10">
        <v>33069.980000000003</v>
      </c>
      <c r="G14" s="10">
        <v>44455.05</v>
      </c>
      <c r="H14" s="10">
        <v>35000</v>
      </c>
      <c r="I14" s="10">
        <v>40000</v>
      </c>
    </row>
    <row r="15" spans="1:9" x14ac:dyDescent="0.2">
      <c r="A15" s="16" t="s">
        <v>609</v>
      </c>
      <c r="B15" s="126" t="s">
        <v>1900</v>
      </c>
      <c r="C15" s="12">
        <v>160.55000000000001</v>
      </c>
      <c r="D15" s="12">
        <v>0</v>
      </c>
      <c r="E15" s="12">
        <v>0</v>
      </c>
      <c r="F15" s="12">
        <v>0</v>
      </c>
      <c r="G15" s="12">
        <v>0</v>
      </c>
      <c r="H15" s="10">
        <v>100</v>
      </c>
      <c r="I15" s="10">
        <v>100</v>
      </c>
    </row>
    <row r="16" spans="1:9" ht="13.5" thickBot="1" x14ac:dyDescent="0.25">
      <c r="A16" s="16"/>
      <c r="B16" s="6" t="s">
        <v>1341</v>
      </c>
      <c r="C16" s="36">
        <f t="shared" ref="C16:G16" si="2">SUM(C13:C15)</f>
        <v>41093.630000000005</v>
      </c>
      <c r="D16" s="36">
        <f t="shared" si="2"/>
        <v>37007.26</v>
      </c>
      <c r="E16" s="36">
        <f t="shared" si="2"/>
        <v>40350.129999999997</v>
      </c>
      <c r="F16" s="36">
        <f t="shared" si="2"/>
        <v>38670.120000000003</v>
      </c>
      <c r="G16" s="36">
        <f t="shared" si="2"/>
        <v>49947.5</v>
      </c>
      <c r="H16" s="135">
        <f t="shared" ref="H16:I16" si="3">SUM(H13:H15)</f>
        <v>40700</v>
      </c>
      <c r="I16" s="135">
        <f t="shared" si="3"/>
        <v>45700</v>
      </c>
    </row>
    <row r="17" spans="1:9" ht="13.5" thickTop="1" x14ac:dyDescent="0.2">
      <c r="A17" s="16"/>
      <c r="C17" s="10"/>
      <c r="D17" s="10"/>
      <c r="E17" s="10"/>
      <c r="F17" s="10"/>
      <c r="G17" s="10"/>
      <c r="H17" s="10"/>
      <c r="I17" s="10"/>
    </row>
    <row r="18" spans="1:9" x14ac:dyDescent="0.2">
      <c r="A18" s="16"/>
      <c r="B18" s="4" t="s">
        <v>653</v>
      </c>
      <c r="C18" s="10"/>
      <c r="D18" s="10"/>
      <c r="E18" s="10"/>
      <c r="F18" s="10"/>
      <c r="G18" s="10"/>
      <c r="H18" s="10"/>
      <c r="I18" s="10"/>
    </row>
    <row r="19" spans="1:9" x14ac:dyDescent="0.2">
      <c r="A19" s="16"/>
      <c r="B19" s="4" t="s">
        <v>607</v>
      </c>
      <c r="C19" s="10"/>
      <c r="D19" s="10"/>
      <c r="E19" s="10"/>
      <c r="F19" s="10"/>
      <c r="G19" s="10"/>
      <c r="H19" s="10"/>
      <c r="I19" s="10"/>
    </row>
    <row r="20" spans="1:9" x14ac:dyDescent="0.2">
      <c r="A20" s="16"/>
      <c r="B20" s="4" t="s">
        <v>1343</v>
      </c>
      <c r="C20" s="10"/>
      <c r="D20" s="10"/>
      <c r="E20" s="10"/>
      <c r="F20" s="10"/>
      <c r="G20" s="10"/>
      <c r="H20" s="10"/>
      <c r="I20" s="10"/>
    </row>
    <row r="21" spans="1:9" x14ac:dyDescent="0.2">
      <c r="A21" s="16"/>
      <c r="C21" s="129" t="str">
        <f t="shared" ref="C21:D21" si="4">+C4</f>
        <v>2018 ACTUAL</v>
      </c>
      <c r="D21" s="129" t="str">
        <f t="shared" si="4"/>
        <v>2019 ACTUAL</v>
      </c>
      <c r="E21" s="129" t="str">
        <f t="shared" ref="E21:F21" si="5">+E4</f>
        <v>2020 ACTUAL</v>
      </c>
      <c r="F21" s="129" t="str">
        <f t="shared" si="5"/>
        <v>2021 ACTUAL</v>
      </c>
      <c r="G21" s="129" t="str">
        <f t="shared" ref="G21:H21" si="6">+G4</f>
        <v>2022 ACTUAL</v>
      </c>
      <c r="H21" s="129" t="str">
        <f t="shared" si="6"/>
        <v xml:space="preserve">2023 BUDGET </v>
      </c>
      <c r="I21" s="129" t="str">
        <f t="shared" ref="I21" si="7">+I4</f>
        <v xml:space="preserve">2024 BUDGET </v>
      </c>
    </row>
    <row r="22" spans="1:9" x14ac:dyDescent="0.2">
      <c r="A22" s="16" t="s">
        <v>1433</v>
      </c>
      <c r="C22" s="112"/>
      <c r="D22" s="112"/>
      <c r="E22" s="112"/>
      <c r="F22" s="112"/>
      <c r="G22" s="112"/>
      <c r="H22" s="112"/>
      <c r="I22" s="112"/>
    </row>
    <row r="23" spans="1:9" x14ac:dyDescent="0.2">
      <c r="A23" s="16"/>
      <c r="B23" t="s">
        <v>1344</v>
      </c>
      <c r="C23" s="10">
        <v>70421.61</v>
      </c>
      <c r="D23" s="10">
        <f t="shared" ref="D23:I23" si="8">C31</f>
        <v>67107.95</v>
      </c>
      <c r="E23" s="10">
        <f t="shared" si="8"/>
        <v>70879.329999999987</v>
      </c>
      <c r="F23" s="10">
        <f t="shared" si="8"/>
        <v>67977.25999999998</v>
      </c>
      <c r="G23" s="10">
        <f t="shared" si="8"/>
        <v>67523.359999999986</v>
      </c>
      <c r="H23" s="10">
        <f t="shared" si="8"/>
        <v>54028.389999999985</v>
      </c>
      <c r="I23" s="10">
        <f t="shared" si="8"/>
        <v>48628.389999999985</v>
      </c>
    </row>
    <row r="24" spans="1:9" x14ac:dyDescent="0.2">
      <c r="A24" t="s">
        <v>1433</v>
      </c>
      <c r="C24" s="10"/>
      <c r="D24" s="10"/>
      <c r="E24" s="10"/>
      <c r="F24" s="10"/>
      <c r="G24" s="10"/>
      <c r="H24" s="10"/>
      <c r="I24" s="10"/>
    </row>
    <row r="25" spans="1:9" x14ac:dyDescent="0.2">
      <c r="A25" s="16"/>
      <c r="B25" t="s">
        <v>113</v>
      </c>
      <c r="C25" s="10">
        <f t="shared" ref="C25:G25" si="9">C10</f>
        <v>37779.97</v>
      </c>
      <c r="D25" s="10">
        <f t="shared" si="9"/>
        <v>40778.640000000007</v>
      </c>
      <c r="E25" s="10">
        <f t="shared" si="9"/>
        <v>37448.060000000005</v>
      </c>
      <c r="F25" s="10">
        <f t="shared" si="9"/>
        <v>38216.22</v>
      </c>
      <c r="G25" s="10">
        <f t="shared" si="9"/>
        <v>36452.53</v>
      </c>
      <c r="H25" s="10">
        <f t="shared" ref="H25:I25" si="10">H10</f>
        <v>35300</v>
      </c>
      <c r="I25" s="10">
        <f t="shared" si="10"/>
        <v>35300</v>
      </c>
    </row>
    <row r="26" spans="1:9" x14ac:dyDescent="0.2">
      <c r="A26" s="16"/>
      <c r="C26" s="10"/>
      <c r="D26" s="10"/>
      <c r="E26" s="10"/>
      <c r="F26" s="10"/>
      <c r="G26" s="10"/>
      <c r="H26" s="10"/>
      <c r="I26" s="10"/>
    </row>
    <row r="27" spans="1:9" x14ac:dyDescent="0.2">
      <c r="A27" s="16"/>
      <c r="B27" t="s">
        <v>1427</v>
      </c>
      <c r="C27" s="10">
        <f t="shared" ref="C27:G27" si="11">C16</f>
        <v>41093.630000000005</v>
      </c>
      <c r="D27" s="10">
        <f t="shared" si="11"/>
        <v>37007.26</v>
      </c>
      <c r="E27" s="10">
        <f t="shared" si="11"/>
        <v>40350.129999999997</v>
      </c>
      <c r="F27" s="10">
        <f t="shared" si="11"/>
        <v>38670.120000000003</v>
      </c>
      <c r="G27" s="10">
        <f t="shared" si="11"/>
        <v>49947.5</v>
      </c>
      <c r="H27" s="10">
        <f t="shared" ref="H27:I27" si="12">H16</f>
        <v>40700</v>
      </c>
      <c r="I27" s="10">
        <f t="shared" si="12"/>
        <v>45700</v>
      </c>
    </row>
    <row r="28" spans="1:9" x14ac:dyDescent="0.2">
      <c r="A28" s="16"/>
      <c r="C28" s="10"/>
      <c r="D28" s="10"/>
      <c r="E28" s="10"/>
      <c r="F28" s="10"/>
      <c r="G28" s="10"/>
      <c r="H28" s="10"/>
      <c r="I28" s="10"/>
    </row>
    <row r="29" spans="1:9" x14ac:dyDescent="0.2">
      <c r="A29" s="16"/>
      <c r="B29" t="s">
        <v>1347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x14ac:dyDescent="0.2">
      <c r="C30" s="10"/>
      <c r="D30" s="10"/>
      <c r="E30" s="10"/>
      <c r="F30" s="10"/>
      <c r="G30" s="10"/>
      <c r="H30" s="10"/>
      <c r="I30" s="10"/>
    </row>
    <row r="31" spans="1:9" ht="13.5" thickBot="1" x14ac:dyDescent="0.25">
      <c r="B31" t="s">
        <v>1348</v>
      </c>
      <c r="C31" s="36">
        <f t="shared" ref="C31:G31" si="13">C23+C25-C27+C29</f>
        <v>67107.95</v>
      </c>
      <c r="D31" s="36">
        <f t="shared" si="13"/>
        <v>70879.329999999987</v>
      </c>
      <c r="E31" s="36">
        <f t="shared" si="13"/>
        <v>67977.25999999998</v>
      </c>
      <c r="F31" s="36">
        <f t="shared" si="13"/>
        <v>67523.359999999986</v>
      </c>
      <c r="G31" s="36">
        <f t="shared" si="13"/>
        <v>54028.389999999985</v>
      </c>
      <c r="H31" s="36">
        <f t="shared" ref="H31:I31" si="14">H23+H25-H27+H29</f>
        <v>48628.389999999985</v>
      </c>
      <c r="I31" s="36">
        <f t="shared" si="14"/>
        <v>38228.389999999985</v>
      </c>
    </row>
    <row r="32" spans="1:9" ht="13.5" thickTop="1" x14ac:dyDescent="0.2"/>
    <row r="33" spans="3:7" x14ac:dyDescent="0.2">
      <c r="D33" s="10"/>
      <c r="E33" s="115"/>
      <c r="G33" s="10"/>
    </row>
    <row r="34" spans="3:7" x14ac:dyDescent="0.2">
      <c r="C34" s="10"/>
    </row>
    <row r="125" spans="3:7" x14ac:dyDescent="0.2">
      <c r="C125" s="9"/>
      <c r="D125" s="9"/>
      <c r="E125" s="9"/>
      <c r="F125" s="9"/>
      <c r="G125" s="9"/>
    </row>
  </sheetData>
  <phoneticPr fontId="2" type="noConversion"/>
  <pageMargins left="0.5" right="0.5" top="1" bottom="1" header="0.5" footer="0.5"/>
  <pageSetup scale="78" firstPageNumber="36" fitToHeight="0" orientation="portrait" useFirstPageNumber="1" r:id="rId1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100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3.57031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  <col min="11" max="11" width="10.28515625" bestFit="1" customWidth="1"/>
  </cols>
  <sheetData>
    <row r="1" spans="1:9" x14ac:dyDescent="0.2">
      <c r="A1" s="16" t="s">
        <v>1433</v>
      </c>
      <c r="B1" s="4" t="s">
        <v>768</v>
      </c>
      <c r="C1" s="1" t="s">
        <v>1433</v>
      </c>
      <c r="D1" s="1" t="s">
        <v>1433</v>
      </c>
      <c r="E1" s="1" t="s">
        <v>1433</v>
      </c>
      <c r="F1" s="1" t="s">
        <v>1433</v>
      </c>
      <c r="G1" s="1" t="s">
        <v>1433</v>
      </c>
    </row>
    <row r="2" spans="1:9" x14ac:dyDescent="0.2">
      <c r="A2" s="16"/>
      <c r="B2" s="4" t="s">
        <v>733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3" spans="1:9" x14ac:dyDescent="0.2">
      <c r="A3" s="16"/>
      <c r="B3" s="4"/>
      <c r="C3" s="1"/>
      <c r="D3" s="1"/>
      <c r="E3" s="1"/>
      <c r="F3" s="1"/>
      <c r="G3" s="1"/>
    </row>
    <row r="4" spans="1:9" x14ac:dyDescent="0.2">
      <c r="A4" s="16"/>
      <c r="B4" s="4" t="s">
        <v>313</v>
      </c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198" t="s">
        <v>991</v>
      </c>
      <c r="B5" s="4" t="s">
        <v>314</v>
      </c>
    </row>
    <row r="6" spans="1:9" x14ac:dyDescent="0.2">
      <c r="A6" s="16" t="s">
        <v>1161</v>
      </c>
      <c r="B6" s="125" t="s">
        <v>1827</v>
      </c>
      <c r="C6" s="10">
        <v>1004271.82</v>
      </c>
      <c r="D6" s="10">
        <v>797470.95</v>
      </c>
      <c r="E6" s="10">
        <v>1031834.59</v>
      </c>
      <c r="F6" s="10">
        <v>1007279.09</v>
      </c>
      <c r="G6" s="10">
        <v>455674</v>
      </c>
      <c r="H6" s="10">
        <v>1002726.4424137507</v>
      </c>
      <c r="I6" s="10">
        <f>SUM(intro!H381)</f>
        <v>1213122.5663739198</v>
      </c>
    </row>
    <row r="7" spans="1:9" x14ac:dyDescent="0.2">
      <c r="A7" s="16" t="s">
        <v>1162</v>
      </c>
      <c r="B7" s="125" t="s">
        <v>1828</v>
      </c>
      <c r="C7" s="12">
        <v>44839.44</v>
      </c>
      <c r="D7" s="12">
        <v>25010.49</v>
      </c>
      <c r="E7" s="12">
        <v>42115.05</v>
      </c>
      <c r="F7" s="12">
        <v>30701.16</v>
      </c>
      <c r="G7" s="12">
        <v>13956.07</v>
      </c>
      <c r="H7" s="12">
        <v>27300</v>
      </c>
      <c r="I7" s="12">
        <f>+intro!K391</f>
        <v>30545</v>
      </c>
    </row>
    <row r="8" spans="1:9" x14ac:dyDescent="0.2">
      <c r="A8" s="16"/>
      <c r="B8" s="6" t="s">
        <v>1118</v>
      </c>
      <c r="C8" s="38">
        <f t="shared" ref="C8:G8" si="0">SUM(C6:C7)</f>
        <v>1049111.26</v>
      </c>
      <c r="D8" s="38">
        <f t="shared" si="0"/>
        <v>822481.44</v>
      </c>
      <c r="E8" s="38">
        <f t="shared" si="0"/>
        <v>1073949.6399999999</v>
      </c>
      <c r="F8" s="38">
        <f t="shared" si="0"/>
        <v>1037980.25</v>
      </c>
      <c r="G8" s="38">
        <f t="shared" si="0"/>
        <v>469630.07</v>
      </c>
      <c r="H8" s="38">
        <f t="shared" ref="H8:I8" si="1">SUM(H6:H7)</f>
        <v>1030026.4424137507</v>
      </c>
      <c r="I8" s="38">
        <f t="shared" si="1"/>
        <v>1243667.5663739198</v>
      </c>
    </row>
    <row r="9" spans="1:9" ht="7.5" customHeight="1" x14ac:dyDescent="0.2">
      <c r="A9" s="16"/>
      <c r="B9" s="6"/>
      <c r="C9" s="10"/>
      <c r="D9" s="10"/>
      <c r="E9" s="10"/>
      <c r="F9" s="10"/>
      <c r="G9" s="10"/>
      <c r="H9" s="10"/>
      <c r="I9" s="10"/>
    </row>
    <row r="10" spans="1:9" x14ac:dyDescent="0.2">
      <c r="A10" s="198" t="s">
        <v>992</v>
      </c>
      <c r="B10" s="20" t="s">
        <v>769</v>
      </c>
      <c r="C10" s="10"/>
      <c r="D10" s="10"/>
      <c r="E10" s="10"/>
      <c r="F10" s="10"/>
      <c r="G10" s="10"/>
      <c r="H10" s="10"/>
      <c r="I10" s="10"/>
    </row>
    <row r="11" spans="1:9" x14ac:dyDescent="0.2">
      <c r="A11" s="16" t="s">
        <v>866</v>
      </c>
      <c r="B11" s="126" t="s">
        <v>135</v>
      </c>
      <c r="C11" s="10">
        <v>28208.1</v>
      </c>
      <c r="D11" s="10">
        <v>27570.6</v>
      </c>
      <c r="E11" s="10">
        <v>29673.26</v>
      </c>
      <c r="F11" s="10">
        <v>31006.639999999999</v>
      </c>
      <c r="G11" s="10">
        <v>38130.44</v>
      </c>
      <c r="H11" s="10">
        <v>28000</v>
      </c>
      <c r="I11" s="10">
        <v>0</v>
      </c>
    </row>
    <row r="12" spans="1:9" x14ac:dyDescent="0.2">
      <c r="A12" s="16" t="s">
        <v>1163</v>
      </c>
      <c r="B12" s="126" t="s">
        <v>2152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0">
        <f>+G12</f>
        <v>0</v>
      </c>
      <c r="I12" s="10">
        <f>+H12</f>
        <v>0</v>
      </c>
    </row>
    <row r="13" spans="1:9" x14ac:dyDescent="0.2">
      <c r="A13" s="16" t="s">
        <v>1433</v>
      </c>
      <c r="B13" s="6" t="s">
        <v>1118</v>
      </c>
      <c r="C13" s="38">
        <f t="shared" ref="C13:G13" si="2">SUM(C11:C12)</f>
        <v>28208.1</v>
      </c>
      <c r="D13" s="38">
        <f t="shared" si="2"/>
        <v>27570.6</v>
      </c>
      <c r="E13" s="38">
        <f t="shared" si="2"/>
        <v>29673.26</v>
      </c>
      <c r="F13" s="38">
        <f t="shared" si="2"/>
        <v>31006.639999999999</v>
      </c>
      <c r="G13" s="38">
        <f t="shared" si="2"/>
        <v>38130.44</v>
      </c>
      <c r="H13" s="38">
        <f t="shared" ref="H13:I13" si="3">SUM(H11:H12)</f>
        <v>28000</v>
      </c>
      <c r="I13" s="38">
        <f t="shared" si="3"/>
        <v>0</v>
      </c>
    </row>
    <row r="14" spans="1:9" ht="7.5" customHeight="1" x14ac:dyDescent="0.2">
      <c r="C14" s="10"/>
      <c r="D14" s="10"/>
      <c r="E14" s="10"/>
      <c r="F14" s="10"/>
      <c r="G14" s="10"/>
      <c r="H14" s="10"/>
      <c r="I14" s="10"/>
    </row>
    <row r="15" spans="1:9" x14ac:dyDescent="0.2">
      <c r="A15" s="198" t="s">
        <v>993</v>
      </c>
      <c r="B15" s="4" t="s">
        <v>315</v>
      </c>
      <c r="C15" s="10"/>
      <c r="D15" s="10"/>
      <c r="E15" s="10"/>
      <c r="F15" s="10"/>
      <c r="G15" s="10"/>
      <c r="H15" s="10"/>
      <c r="I15" s="10"/>
    </row>
    <row r="16" spans="1:9" x14ac:dyDescent="0.2">
      <c r="A16" s="16" t="s">
        <v>1164</v>
      </c>
      <c r="B16" s="125" t="s">
        <v>2153</v>
      </c>
      <c r="C16" s="10">
        <v>2963</v>
      </c>
      <c r="D16" s="10">
        <v>2130.6999999999998</v>
      </c>
      <c r="E16" s="10">
        <v>1855.5</v>
      </c>
      <c r="F16" s="10">
        <v>2068</v>
      </c>
      <c r="G16" s="10">
        <v>1115</v>
      </c>
      <c r="H16" s="10">
        <v>2000</v>
      </c>
      <c r="I16" s="10">
        <f t="shared" ref="H16:I20" si="4">+H16</f>
        <v>2000</v>
      </c>
    </row>
    <row r="17" spans="1:9" x14ac:dyDescent="0.2">
      <c r="A17" s="52" t="s">
        <v>1585</v>
      </c>
      <c r="B17" s="126" t="s">
        <v>2154</v>
      </c>
      <c r="C17" s="10">
        <v>413</v>
      </c>
      <c r="D17" s="10">
        <v>236</v>
      </c>
      <c r="E17" s="10">
        <v>12</v>
      </c>
      <c r="F17" s="10">
        <v>126</v>
      </c>
      <c r="G17" s="10">
        <v>72</v>
      </c>
      <c r="H17" s="10">
        <v>300</v>
      </c>
      <c r="I17" s="10">
        <f t="shared" si="4"/>
        <v>300</v>
      </c>
    </row>
    <row r="18" spans="1:9" x14ac:dyDescent="0.2">
      <c r="A18" s="52" t="s">
        <v>1586</v>
      </c>
      <c r="B18" s="126" t="s">
        <v>2155</v>
      </c>
      <c r="C18" s="10">
        <v>1586</v>
      </c>
      <c r="D18" s="10">
        <v>3589.2</v>
      </c>
      <c r="E18" s="10">
        <v>873</v>
      </c>
      <c r="F18" s="10">
        <v>89.6</v>
      </c>
      <c r="G18" s="10">
        <v>3003.8</v>
      </c>
      <c r="H18" s="10">
        <v>1000</v>
      </c>
      <c r="I18" s="10">
        <v>1000</v>
      </c>
    </row>
    <row r="19" spans="1:9" x14ac:dyDescent="0.2">
      <c r="A19" s="16" t="s">
        <v>1165</v>
      </c>
      <c r="B19" s="125" t="s">
        <v>1839</v>
      </c>
      <c r="C19" s="17">
        <v>181385</v>
      </c>
      <c r="D19" s="17">
        <v>312600</v>
      </c>
      <c r="E19" s="17">
        <v>351100</v>
      </c>
      <c r="F19" s="17">
        <v>355600</v>
      </c>
      <c r="G19" s="17">
        <v>179266.81</v>
      </c>
      <c r="H19" s="10">
        <v>300000</v>
      </c>
      <c r="I19" s="10">
        <f t="shared" si="4"/>
        <v>300000</v>
      </c>
    </row>
    <row r="20" spans="1:9" x14ac:dyDescent="0.2">
      <c r="A20" s="35" t="s">
        <v>1768</v>
      </c>
      <c r="B20" s="126" t="s">
        <v>2156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0">
        <f t="shared" si="4"/>
        <v>0</v>
      </c>
      <c r="I20" s="10">
        <f t="shared" si="4"/>
        <v>0</v>
      </c>
    </row>
    <row r="21" spans="1:9" x14ac:dyDescent="0.2">
      <c r="A21" s="16"/>
      <c r="B21" s="6" t="s">
        <v>1118</v>
      </c>
      <c r="C21" s="38">
        <f t="shared" ref="C21:H21" si="5">SUM(C16:C20)</f>
        <v>186347</v>
      </c>
      <c r="D21" s="38">
        <f t="shared" si="5"/>
        <v>318555.90000000002</v>
      </c>
      <c r="E21" s="38">
        <f t="shared" si="5"/>
        <v>353840.5</v>
      </c>
      <c r="F21" s="38">
        <f t="shared" si="5"/>
        <v>357883.6</v>
      </c>
      <c r="G21" s="38">
        <f t="shared" si="5"/>
        <v>183457.61</v>
      </c>
      <c r="H21" s="38">
        <f t="shared" si="5"/>
        <v>303300</v>
      </c>
      <c r="I21" s="38">
        <f t="shared" ref="I21" si="6">SUM(I16:I20)</f>
        <v>303300</v>
      </c>
    </row>
    <row r="22" spans="1:9" x14ac:dyDescent="0.2">
      <c r="C22" s="10"/>
      <c r="D22" s="10"/>
      <c r="E22" s="10"/>
      <c r="F22" s="10"/>
      <c r="G22" s="10"/>
      <c r="H22" s="10"/>
      <c r="I22" s="10"/>
    </row>
    <row r="23" spans="1:9" x14ac:dyDescent="0.2">
      <c r="A23" s="198" t="s">
        <v>994</v>
      </c>
      <c r="B23" s="4" t="s">
        <v>1582</v>
      </c>
      <c r="C23" s="10"/>
      <c r="D23" s="10"/>
      <c r="E23" s="10"/>
      <c r="F23" s="10"/>
      <c r="G23" s="10"/>
      <c r="H23" s="10"/>
      <c r="I23" s="10"/>
    </row>
    <row r="24" spans="1:9" x14ac:dyDescent="0.2">
      <c r="A24" s="16" t="s">
        <v>1166</v>
      </c>
      <c r="B24" s="126" t="s">
        <v>1761</v>
      </c>
      <c r="C24" s="17">
        <v>6691.89</v>
      </c>
      <c r="D24" s="17">
        <v>12700.1</v>
      </c>
      <c r="E24" s="17">
        <v>12117.56</v>
      </c>
      <c r="F24" s="17">
        <v>11624.51</v>
      </c>
      <c r="G24" s="17">
        <v>13608.05</v>
      </c>
      <c r="H24" s="10">
        <v>500</v>
      </c>
      <c r="I24" s="10">
        <v>25000</v>
      </c>
    </row>
    <row r="25" spans="1:9" x14ac:dyDescent="0.2">
      <c r="A25" s="16" t="s">
        <v>1167</v>
      </c>
      <c r="B25" s="126" t="s">
        <v>1868</v>
      </c>
      <c r="C25" s="10">
        <v>0</v>
      </c>
      <c r="D25" s="10">
        <v>0</v>
      </c>
      <c r="E25" s="10">
        <v>3000</v>
      </c>
      <c r="F25" s="10">
        <v>938.57</v>
      </c>
      <c r="G25" s="10">
        <v>0</v>
      </c>
      <c r="H25" s="10">
        <f t="shared" ref="H25:I27" si="7">+G25</f>
        <v>0</v>
      </c>
      <c r="I25" s="10">
        <f t="shared" si="7"/>
        <v>0</v>
      </c>
    </row>
    <row r="26" spans="1:9" x14ac:dyDescent="0.2">
      <c r="A26" s="16" t="s">
        <v>1168</v>
      </c>
      <c r="B26" s="126" t="s">
        <v>1875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f t="shared" si="7"/>
        <v>0</v>
      </c>
      <c r="I26" s="10">
        <f t="shared" si="7"/>
        <v>0</v>
      </c>
    </row>
    <row r="27" spans="1:9" x14ac:dyDescent="0.2">
      <c r="A27" s="16" t="s">
        <v>1169</v>
      </c>
      <c r="B27" s="126" t="s">
        <v>1878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0">
        <f t="shared" si="7"/>
        <v>0</v>
      </c>
      <c r="I27" s="10">
        <f t="shared" si="7"/>
        <v>0</v>
      </c>
    </row>
    <row r="28" spans="1:9" x14ac:dyDescent="0.2">
      <c r="A28" s="16"/>
      <c r="B28" s="6" t="s">
        <v>1118</v>
      </c>
      <c r="C28" s="127">
        <f t="shared" ref="C28:G28" si="8">SUM(C24:C27)</f>
        <v>6691.89</v>
      </c>
      <c r="D28" s="127">
        <f t="shared" si="8"/>
        <v>12700.1</v>
      </c>
      <c r="E28" s="127">
        <f t="shared" si="8"/>
        <v>15117.56</v>
      </c>
      <c r="F28" s="127">
        <f t="shared" si="8"/>
        <v>12563.08</v>
      </c>
      <c r="G28" s="127">
        <f t="shared" si="8"/>
        <v>13608.05</v>
      </c>
      <c r="H28" s="127">
        <f t="shared" ref="H28:I28" si="9">SUM(H24:H27)</f>
        <v>500</v>
      </c>
      <c r="I28" s="127">
        <f t="shared" si="9"/>
        <v>25000</v>
      </c>
    </row>
    <row r="29" spans="1:9" x14ac:dyDescent="0.2">
      <c r="A29" s="128">
        <v>450.4</v>
      </c>
      <c r="B29" s="4" t="s">
        <v>1825</v>
      </c>
      <c r="C29" s="10"/>
      <c r="D29" s="10"/>
      <c r="E29" s="10"/>
      <c r="F29" s="10"/>
      <c r="G29" s="10"/>
      <c r="H29" s="10"/>
      <c r="I29" s="10"/>
    </row>
    <row r="30" spans="1:9" x14ac:dyDescent="0.2">
      <c r="A30" s="22" t="s">
        <v>2093</v>
      </c>
      <c r="B30" s="125" t="s">
        <v>1882</v>
      </c>
      <c r="C30" s="17">
        <v>0</v>
      </c>
      <c r="D30" s="17">
        <v>70.2</v>
      </c>
      <c r="E30" s="12">
        <v>0</v>
      </c>
      <c r="F30" s="17">
        <v>0</v>
      </c>
      <c r="G30" s="17">
        <v>0</v>
      </c>
      <c r="H30" s="17">
        <v>0</v>
      </c>
      <c r="I30" s="17">
        <v>0</v>
      </c>
    </row>
    <row r="31" spans="1:9" x14ac:dyDescent="0.2">
      <c r="A31" s="22"/>
      <c r="B31" s="6"/>
      <c r="C31" s="127">
        <f t="shared" ref="C31:F31" si="10">+C30</f>
        <v>0</v>
      </c>
      <c r="D31" s="127">
        <f t="shared" si="10"/>
        <v>70.2</v>
      </c>
      <c r="E31" s="127">
        <f t="shared" si="10"/>
        <v>0</v>
      </c>
      <c r="F31" s="127">
        <f t="shared" si="10"/>
        <v>0</v>
      </c>
      <c r="G31" s="127">
        <f t="shared" ref="G31:H31" si="11">+G30</f>
        <v>0</v>
      </c>
      <c r="H31" s="127">
        <f t="shared" si="11"/>
        <v>0</v>
      </c>
      <c r="I31" s="127">
        <f t="shared" ref="I31" si="12">+I30</f>
        <v>0</v>
      </c>
    </row>
    <row r="32" spans="1:9" x14ac:dyDescent="0.2">
      <c r="A32" s="16"/>
      <c r="B32" s="6"/>
      <c r="C32" s="10"/>
      <c r="D32" s="10"/>
      <c r="E32" s="10"/>
      <c r="F32" s="10"/>
      <c r="G32" s="10"/>
      <c r="H32" s="10"/>
      <c r="I32" s="10"/>
    </row>
    <row r="33" spans="1:9" ht="13.5" thickBot="1" x14ac:dyDescent="0.25">
      <c r="A33" s="16" t="s">
        <v>1433</v>
      </c>
      <c r="B33" s="6" t="s">
        <v>137</v>
      </c>
      <c r="C33" s="36">
        <f t="shared" ref="C33:F33" si="13">C8+C13+C21+C28+C31</f>
        <v>1270358.25</v>
      </c>
      <c r="D33" s="36">
        <f t="shared" si="13"/>
        <v>1181378.24</v>
      </c>
      <c r="E33" s="36">
        <f t="shared" si="13"/>
        <v>1472580.96</v>
      </c>
      <c r="F33" s="36">
        <f t="shared" si="13"/>
        <v>1439433.5699999998</v>
      </c>
      <c r="G33" s="36">
        <f t="shared" ref="G33:H33" si="14">G8+G13+G21+G28+G31</f>
        <v>704826.17</v>
      </c>
      <c r="H33" s="36">
        <f t="shared" si="14"/>
        <v>1361826.4424137506</v>
      </c>
      <c r="I33" s="36">
        <f t="shared" ref="I33" si="15">I8+I13+I21+I28+I31</f>
        <v>1571967.5663739198</v>
      </c>
    </row>
    <row r="34" spans="1:9" ht="13.5" thickTop="1" x14ac:dyDescent="0.2">
      <c r="A34" s="16"/>
      <c r="B34" s="6"/>
      <c r="C34" s="10"/>
      <c r="D34" s="10"/>
      <c r="E34" s="10"/>
      <c r="F34" s="10"/>
      <c r="G34" s="10"/>
      <c r="H34" s="10"/>
      <c r="I34" s="10"/>
    </row>
    <row r="35" spans="1:9" x14ac:dyDescent="0.2">
      <c r="A35" s="198" t="s">
        <v>2470</v>
      </c>
      <c r="B35" s="4" t="s">
        <v>861</v>
      </c>
      <c r="C35" s="10"/>
      <c r="D35" s="129" t="str">
        <f t="shared" ref="D35:I35" si="16">+D$4</f>
        <v>2019 ACTUAL</v>
      </c>
      <c r="E35" s="129" t="str">
        <f t="shared" si="16"/>
        <v>2020 ACTUAL</v>
      </c>
      <c r="F35" s="129" t="str">
        <f t="shared" si="16"/>
        <v>2021 ACTUAL</v>
      </c>
      <c r="G35" s="129" t="str">
        <f t="shared" si="16"/>
        <v>2022 ACTUAL</v>
      </c>
      <c r="H35" s="129" t="str">
        <f t="shared" si="16"/>
        <v xml:space="preserve">2023 BUDGET </v>
      </c>
      <c r="I35" s="129" t="str">
        <f t="shared" si="16"/>
        <v xml:space="preserve">2024 BUDGET </v>
      </c>
    </row>
    <row r="36" spans="1:9" x14ac:dyDescent="0.2">
      <c r="A36" s="16" t="s">
        <v>1033</v>
      </c>
      <c r="B36" s="125" t="s">
        <v>2157</v>
      </c>
      <c r="C36" s="10">
        <v>16076.23</v>
      </c>
      <c r="D36" s="10">
        <v>16068.26</v>
      </c>
      <c r="E36" s="10">
        <v>16068.26</v>
      </c>
      <c r="F36" s="10">
        <v>16068.26</v>
      </c>
      <c r="G36" s="10">
        <v>16377.27</v>
      </c>
      <c r="H36" s="10">
        <v>16068</v>
      </c>
      <c r="I36" s="10">
        <f t="shared" ref="I36:I61" si="17">+H36</f>
        <v>16068</v>
      </c>
    </row>
    <row r="37" spans="1:9" x14ac:dyDescent="0.2">
      <c r="A37" s="16" t="s">
        <v>1034</v>
      </c>
      <c r="B37" s="125" t="s">
        <v>2158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f t="shared" si="17"/>
        <v>0</v>
      </c>
    </row>
    <row r="38" spans="1:9" x14ac:dyDescent="0.2">
      <c r="A38" s="35" t="s">
        <v>2521</v>
      </c>
      <c r="B38" s="126" t="s">
        <v>2522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75000</v>
      </c>
      <c r="I38" s="10">
        <v>90000</v>
      </c>
    </row>
    <row r="39" spans="1:9" x14ac:dyDescent="0.2">
      <c r="A39" s="16" t="s">
        <v>1035</v>
      </c>
      <c r="B39" s="125" t="s">
        <v>2023</v>
      </c>
      <c r="C39" s="18">
        <v>739179.74</v>
      </c>
      <c r="D39" s="18">
        <v>680141.58</v>
      </c>
      <c r="E39" s="18">
        <v>726229.35</v>
      </c>
      <c r="F39" s="18">
        <v>758160.51</v>
      </c>
      <c r="G39" s="18">
        <v>800915.01</v>
      </c>
      <c r="H39" s="10">
        <v>884239</v>
      </c>
      <c r="I39" s="10">
        <f>1032716-I38</f>
        <v>942716</v>
      </c>
    </row>
    <row r="40" spans="1:9" x14ac:dyDescent="0.2">
      <c r="A40" s="16" t="s">
        <v>1036</v>
      </c>
      <c r="B40" s="125" t="s">
        <v>1889</v>
      </c>
      <c r="C40" s="10">
        <v>3976.61</v>
      </c>
      <c r="D40" s="10">
        <v>5810.4</v>
      </c>
      <c r="E40" s="10">
        <v>5342.34</v>
      </c>
      <c r="F40" s="10">
        <v>5144.0600000000004</v>
      </c>
      <c r="G40" s="10">
        <v>6782.21</v>
      </c>
      <c r="H40" s="10">
        <v>6960</v>
      </c>
      <c r="I40" s="10">
        <v>4980</v>
      </c>
    </row>
    <row r="41" spans="1:9" x14ac:dyDescent="0.2">
      <c r="A41" s="16" t="s">
        <v>672</v>
      </c>
      <c r="B41" s="125" t="s">
        <v>1956</v>
      </c>
      <c r="C41" s="10">
        <v>36769.93</v>
      </c>
      <c r="D41" s="10">
        <v>30001.25</v>
      </c>
      <c r="E41" s="10">
        <v>27982.1</v>
      </c>
      <c r="F41" s="10">
        <v>27982.1</v>
      </c>
      <c r="G41" s="10">
        <v>23072.95</v>
      </c>
      <c r="H41" s="10">
        <v>22214</v>
      </c>
      <c r="I41" s="10">
        <v>40214</v>
      </c>
    </row>
    <row r="42" spans="1:9" x14ac:dyDescent="0.2">
      <c r="A42" s="16" t="s">
        <v>1037</v>
      </c>
      <c r="B42" s="125" t="s">
        <v>1891</v>
      </c>
      <c r="C42" s="18">
        <v>58367.49</v>
      </c>
      <c r="D42" s="18">
        <v>53372.86</v>
      </c>
      <c r="E42" s="18">
        <v>56861.919999999998</v>
      </c>
      <c r="F42" s="18">
        <v>57223.03</v>
      </c>
      <c r="G42" s="18">
        <v>62439.95</v>
      </c>
      <c r="H42" s="10">
        <v>75614</v>
      </c>
      <c r="I42" s="10">
        <v>86180</v>
      </c>
    </row>
    <row r="43" spans="1:9" x14ac:dyDescent="0.2">
      <c r="A43" s="16" t="s">
        <v>1039</v>
      </c>
      <c r="B43" s="125" t="s">
        <v>1892</v>
      </c>
      <c r="C43" s="18">
        <v>93433.36</v>
      </c>
      <c r="D43" s="18">
        <v>86323.28</v>
      </c>
      <c r="E43" s="18">
        <v>95820.08</v>
      </c>
      <c r="F43" s="18">
        <v>98387.25</v>
      </c>
      <c r="G43" s="18">
        <v>104222.44</v>
      </c>
      <c r="H43" s="10">
        <v>122959</v>
      </c>
      <c r="I43" s="10">
        <v>140253</v>
      </c>
    </row>
    <row r="44" spans="1:9" x14ac:dyDescent="0.2">
      <c r="A44" s="16" t="s">
        <v>1038</v>
      </c>
      <c r="B44" s="125" t="s">
        <v>1893</v>
      </c>
      <c r="C44" s="18">
        <v>155287.4</v>
      </c>
      <c r="D44" s="18">
        <v>137108.4</v>
      </c>
      <c r="E44" s="18">
        <v>127354.5</v>
      </c>
      <c r="F44" s="18">
        <v>130107.42</v>
      </c>
      <c r="G44" s="18">
        <v>114202.57</v>
      </c>
      <c r="H44" s="10">
        <v>181356</v>
      </c>
      <c r="I44" s="10">
        <v>148200</v>
      </c>
    </row>
    <row r="45" spans="1:9" x14ac:dyDescent="0.2">
      <c r="A45" s="16" t="s">
        <v>1040</v>
      </c>
      <c r="B45" s="125" t="s">
        <v>1991</v>
      </c>
      <c r="C45" s="10">
        <v>0</v>
      </c>
      <c r="D45" s="10">
        <v>765.5</v>
      </c>
      <c r="E45" s="10">
        <v>0</v>
      </c>
      <c r="F45" s="10">
        <v>0</v>
      </c>
      <c r="G45" s="10">
        <v>0</v>
      </c>
      <c r="H45" s="10">
        <v>300</v>
      </c>
      <c r="I45" s="10">
        <v>2000</v>
      </c>
    </row>
    <row r="46" spans="1:9" x14ac:dyDescent="0.2">
      <c r="A46" s="16" t="s">
        <v>1046</v>
      </c>
      <c r="B46" s="125" t="s">
        <v>1895</v>
      </c>
      <c r="C46" s="10">
        <v>0</v>
      </c>
      <c r="D46" s="10">
        <v>-10.81</v>
      </c>
      <c r="E46" s="10">
        <v>276.51</v>
      </c>
      <c r="F46" s="10">
        <v>1104.8699999999999</v>
      </c>
      <c r="G46" s="10">
        <v>1060.8</v>
      </c>
      <c r="H46" s="10">
        <v>1200</v>
      </c>
      <c r="I46" s="10">
        <v>5000</v>
      </c>
    </row>
    <row r="47" spans="1:9" x14ac:dyDescent="0.2">
      <c r="A47" s="16" t="s">
        <v>1047</v>
      </c>
      <c r="B47" s="125" t="s">
        <v>2025</v>
      </c>
      <c r="C47" s="10">
        <v>0</v>
      </c>
      <c r="D47" s="10">
        <v>9458.36</v>
      </c>
      <c r="E47" s="10">
        <v>658.67</v>
      </c>
      <c r="F47" s="10">
        <v>695.68</v>
      </c>
      <c r="G47" s="10">
        <v>6907.65</v>
      </c>
      <c r="H47" s="10">
        <v>10068</v>
      </c>
      <c r="I47" s="10">
        <v>34000</v>
      </c>
    </row>
    <row r="48" spans="1:9" x14ac:dyDescent="0.2">
      <c r="A48" s="16" t="s">
        <v>327</v>
      </c>
      <c r="B48" s="125" t="s">
        <v>1896</v>
      </c>
      <c r="C48" s="10">
        <v>308.39999999999998</v>
      </c>
      <c r="D48" s="10">
        <v>591.61</v>
      </c>
      <c r="E48" s="10">
        <v>483.31</v>
      </c>
      <c r="F48" s="10">
        <v>34.24</v>
      </c>
      <c r="G48" s="10">
        <v>373.46</v>
      </c>
      <c r="H48" s="10">
        <v>200</v>
      </c>
      <c r="I48" s="10">
        <v>1000</v>
      </c>
    </row>
    <row r="49" spans="1:12" x14ac:dyDescent="0.2">
      <c r="A49" s="16" t="s">
        <v>328</v>
      </c>
      <c r="B49" s="125" t="s">
        <v>2024</v>
      </c>
      <c r="C49" s="10">
        <v>0</v>
      </c>
      <c r="D49" s="10">
        <v>3601.79</v>
      </c>
      <c r="E49" s="10">
        <v>630.67999999999995</v>
      </c>
      <c r="F49" s="10">
        <v>7876.3</v>
      </c>
      <c r="G49" s="10">
        <v>4948.25</v>
      </c>
      <c r="H49" s="10">
        <v>6000</v>
      </c>
      <c r="I49" s="10">
        <v>16000</v>
      </c>
    </row>
    <row r="50" spans="1:12" x14ac:dyDescent="0.2">
      <c r="A50" s="16" t="s">
        <v>329</v>
      </c>
      <c r="B50" s="125" t="s">
        <v>1985</v>
      </c>
      <c r="C50" s="10">
        <v>0</v>
      </c>
      <c r="D50" s="10">
        <v>0</v>
      </c>
      <c r="E50" s="10">
        <v>0</v>
      </c>
      <c r="F50" s="10">
        <v>0</v>
      </c>
      <c r="G50" s="10">
        <v>8000</v>
      </c>
      <c r="H50" s="10">
        <v>8000</v>
      </c>
      <c r="I50" s="10">
        <f t="shared" si="17"/>
        <v>8000</v>
      </c>
    </row>
    <row r="51" spans="1:12" x14ac:dyDescent="0.2">
      <c r="A51" s="16" t="s">
        <v>1529</v>
      </c>
      <c r="B51" s="125" t="s">
        <v>2159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f t="shared" si="17"/>
        <v>0</v>
      </c>
    </row>
    <row r="52" spans="1:12" x14ac:dyDescent="0.2">
      <c r="A52" s="16" t="s">
        <v>330</v>
      </c>
      <c r="B52" s="125" t="s">
        <v>1897</v>
      </c>
      <c r="C52" s="10">
        <v>0</v>
      </c>
      <c r="D52" s="10">
        <v>0</v>
      </c>
      <c r="E52" s="10">
        <v>420.26</v>
      </c>
      <c r="F52" s="10">
        <v>0</v>
      </c>
      <c r="G52" s="10">
        <v>0</v>
      </c>
      <c r="H52" s="10">
        <v>0</v>
      </c>
      <c r="I52" s="10">
        <f t="shared" si="17"/>
        <v>0</v>
      </c>
    </row>
    <row r="53" spans="1:12" x14ac:dyDescent="0.2">
      <c r="A53" s="16" t="s">
        <v>331</v>
      </c>
      <c r="B53" s="125" t="s">
        <v>1898</v>
      </c>
      <c r="C53" s="10">
        <v>563.45000000000005</v>
      </c>
      <c r="D53" s="10">
        <v>1608.8</v>
      </c>
      <c r="E53" s="10">
        <v>3011.51</v>
      </c>
      <c r="F53" s="10">
        <v>0</v>
      </c>
      <c r="G53" s="10">
        <v>3074.47</v>
      </c>
      <c r="H53" s="10">
        <v>3000</v>
      </c>
      <c r="I53" s="10">
        <v>10000</v>
      </c>
    </row>
    <row r="54" spans="1:12" x14ac:dyDescent="0.2">
      <c r="A54" s="16" t="s">
        <v>332</v>
      </c>
      <c r="B54" s="125" t="s">
        <v>1993</v>
      </c>
      <c r="C54" s="18">
        <v>138.63</v>
      </c>
      <c r="D54" s="18">
        <v>28343.599999999999</v>
      </c>
      <c r="E54" s="18">
        <v>60.17</v>
      </c>
      <c r="F54" s="18">
        <v>20547.490000000002</v>
      </c>
      <c r="G54" s="18">
        <v>24430.3</v>
      </c>
      <c r="H54" s="10">
        <v>32000</v>
      </c>
      <c r="I54" s="10">
        <v>34000</v>
      </c>
    </row>
    <row r="55" spans="1:12" x14ac:dyDescent="0.2">
      <c r="A55" s="16" t="s">
        <v>1718</v>
      </c>
      <c r="B55" s="125" t="s">
        <v>2160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0">
        <v>0</v>
      </c>
      <c r="I55" s="10">
        <f t="shared" si="17"/>
        <v>0</v>
      </c>
    </row>
    <row r="56" spans="1:12" x14ac:dyDescent="0.2">
      <c r="A56" s="16" t="s">
        <v>1751</v>
      </c>
      <c r="B56" s="125" t="s">
        <v>2161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0">
        <v>0</v>
      </c>
      <c r="I56" s="10">
        <f t="shared" si="17"/>
        <v>0</v>
      </c>
    </row>
    <row r="57" spans="1:12" x14ac:dyDescent="0.2">
      <c r="A57" s="16" t="s">
        <v>418</v>
      </c>
      <c r="B57" s="125" t="s">
        <v>2162</v>
      </c>
      <c r="C57" s="10">
        <v>0</v>
      </c>
      <c r="D57" s="10">
        <v>0</v>
      </c>
      <c r="E57" s="10">
        <v>427.74</v>
      </c>
      <c r="F57" s="10">
        <v>0</v>
      </c>
      <c r="G57" s="10">
        <v>35.14</v>
      </c>
      <c r="H57" s="10">
        <v>500</v>
      </c>
      <c r="I57" s="10">
        <v>200000</v>
      </c>
    </row>
    <row r="58" spans="1:12" x14ac:dyDescent="0.2">
      <c r="A58" s="16" t="s">
        <v>1139</v>
      </c>
      <c r="B58" s="125" t="s">
        <v>1971</v>
      </c>
      <c r="C58" s="10">
        <v>3345.21</v>
      </c>
      <c r="D58" s="10">
        <v>850.82</v>
      </c>
      <c r="E58" s="10">
        <v>0</v>
      </c>
      <c r="F58" s="10">
        <v>147.80000000000001</v>
      </c>
      <c r="G58" s="10">
        <v>853.03</v>
      </c>
      <c r="H58" s="10">
        <v>1000</v>
      </c>
      <c r="I58" s="10">
        <v>3000</v>
      </c>
    </row>
    <row r="59" spans="1:12" x14ac:dyDescent="0.2">
      <c r="A59" s="16" t="s">
        <v>1530</v>
      </c>
      <c r="B59" s="125" t="s">
        <v>2163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f t="shared" si="17"/>
        <v>0</v>
      </c>
      <c r="K59" s="209"/>
    </row>
    <row r="60" spans="1:12" x14ac:dyDescent="0.2">
      <c r="A60" s="16" t="s">
        <v>333</v>
      </c>
      <c r="B60" s="125" t="s">
        <v>1900</v>
      </c>
      <c r="C60" s="10">
        <v>4371.99</v>
      </c>
      <c r="D60" s="10">
        <v>-2.46</v>
      </c>
      <c r="E60" s="10">
        <v>0</v>
      </c>
      <c r="F60" s="10">
        <v>20</v>
      </c>
      <c r="G60" s="10">
        <v>100280.75</v>
      </c>
      <c r="H60" s="10">
        <v>11000</v>
      </c>
      <c r="I60" s="10">
        <v>110000</v>
      </c>
      <c r="K60" s="209"/>
    </row>
    <row r="61" spans="1:12" x14ac:dyDescent="0.2">
      <c r="A61" s="16" t="s">
        <v>1528</v>
      </c>
      <c r="B61" s="125" t="s">
        <v>2000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f t="shared" si="17"/>
        <v>0</v>
      </c>
      <c r="J61" s="208"/>
      <c r="K61" s="209"/>
      <c r="L61" s="208"/>
    </row>
    <row r="62" spans="1:12" x14ac:dyDescent="0.2">
      <c r="A62" s="16" t="s">
        <v>2306</v>
      </c>
      <c r="B62" s="125" t="s">
        <v>2301</v>
      </c>
      <c r="C62" s="10">
        <v>0</v>
      </c>
      <c r="D62" s="10">
        <v>0</v>
      </c>
      <c r="E62" s="10">
        <v>598.83000000000004</v>
      </c>
      <c r="F62" s="10">
        <v>664.7</v>
      </c>
      <c r="G62" s="10">
        <v>7185.96</v>
      </c>
      <c r="H62" s="10">
        <v>17575.8</v>
      </c>
      <c r="I62" s="10">
        <v>28287.24</v>
      </c>
      <c r="J62" s="208"/>
      <c r="K62" s="209"/>
      <c r="L62" s="208"/>
    </row>
    <row r="63" spans="1:12" x14ac:dyDescent="0.2">
      <c r="A63" s="16" t="s">
        <v>334</v>
      </c>
      <c r="B63" s="125" t="s">
        <v>2027</v>
      </c>
      <c r="C63" s="12">
        <v>0</v>
      </c>
      <c r="D63" s="12">
        <v>-8.73</v>
      </c>
      <c r="E63" s="12">
        <v>358</v>
      </c>
      <c r="F63" s="12">
        <v>0</v>
      </c>
      <c r="G63" s="12">
        <v>0</v>
      </c>
      <c r="H63" s="10">
        <v>0</v>
      </c>
      <c r="I63" s="10">
        <v>11500</v>
      </c>
      <c r="J63" s="208"/>
      <c r="K63" s="239"/>
      <c r="L63" s="208"/>
    </row>
    <row r="64" spans="1:12" x14ac:dyDescent="0.2">
      <c r="A64" s="16"/>
      <c r="B64" s="6" t="s">
        <v>1118</v>
      </c>
      <c r="C64" s="38">
        <f t="shared" ref="C64:G64" si="18">SUM(C36:C63)</f>
        <v>1111818.4399999997</v>
      </c>
      <c r="D64" s="38">
        <f t="shared" si="18"/>
        <v>1054024.5100000002</v>
      </c>
      <c r="E64" s="167">
        <f t="shared" si="18"/>
        <v>1062584.2299999997</v>
      </c>
      <c r="F64" s="38">
        <f t="shared" si="18"/>
        <v>1124163.7100000002</v>
      </c>
      <c r="G64" s="38">
        <f t="shared" si="18"/>
        <v>1285162.2099999997</v>
      </c>
      <c r="H64" s="38">
        <f t="shared" ref="H64:I64" si="19">SUM(H36:H63)</f>
        <v>1475253.8</v>
      </c>
      <c r="I64" s="38">
        <f t="shared" si="19"/>
        <v>1931398.24</v>
      </c>
      <c r="J64" s="208"/>
      <c r="K64" s="239"/>
      <c r="L64" s="208"/>
    </row>
    <row r="65" spans="1:12" x14ac:dyDescent="0.2">
      <c r="A65" s="16"/>
      <c r="B65" s="6"/>
      <c r="C65" s="243"/>
      <c r="D65" s="243"/>
      <c r="E65" s="171"/>
      <c r="F65" s="243"/>
      <c r="G65" s="243"/>
      <c r="H65" s="243"/>
      <c r="I65" s="243"/>
      <c r="J65" s="208"/>
      <c r="K65" s="239"/>
      <c r="L65" s="208"/>
    </row>
    <row r="66" spans="1:12" x14ac:dyDescent="0.2">
      <c r="A66" s="16"/>
      <c r="B66" s="4" t="s">
        <v>768</v>
      </c>
      <c r="C66" s="112" t="s">
        <v>1433</v>
      </c>
      <c r="D66" s="112" t="s">
        <v>1433</v>
      </c>
      <c r="E66" s="112" t="s">
        <v>1433</v>
      </c>
      <c r="F66" s="112" t="s">
        <v>1433</v>
      </c>
      <c r="G66" s="112" t="s">
        <v>1433</v>
      </c>
      <c r="H66" s="112" t="s">
        <v>1433</v>
      </c>
      <c r="I66" s="112" t="s">
        <v>1433</v>
      </c>
      <c r="K66" s="240"/>
    </row>
    <row r="67" spans="1:12" x14ac:dyDescent="0.2">
      <c r="A67" s="16"/>
      <c r="B67" s="4" t="s">
        <v>733</v>
      </c>
      <c r="C67" s="112" t="s">
        <v>1433</v>
      </c>
      <c r="D67" s="112" t="s">
        <v>1433</v>
      </c>
      <c r="E67" s="112" t="s">
        <v>1433</v>
      </c>
      <c r="F67" s="112" t="s">
        <v>1433</v>
      </c>
      <c r="G67" s="112" t="s">
        <v>1433</v>
      </c>
      <c r="H67" s="112" t="s">
        <v>1433</v>
      </c>
      <c r="I67" s="112" t="s">
        <v>1433</v>
      </c>
    </row>
    <row r="68" spans="1:12" ht="7.5" customHeight="1" x14ac:dyDescent="0.2">
      <c r="A68" s="16"/>
      <c r="B68" s="4"/>
      <c r="C68" s="112" t="s">
        <v>1433</v>
      </c>
      <c r="D68" s="112" t="s">
        <v>1433</v>
      </c>
      <c r="E68" s="112" t="s">
        <v>1433</v>
      </c>
      <c r="F68" s="112" t="s">
        <v>1433</v>
      </c>
      <c r="G68" s="112" t="s">
        <v>1433</v>
      </c>
      <c r="H68" s="112" t="s">
        <v>1433</v>
      </c>
      <c r="I68" s="112" t="s">
        <v>1433</v>
      </c>
    </row>
    <row r="69" spans="1:12" x14ac:dyDescent="0.2">
      <c r="A69" s="16"/>
      <c r="B69" s="4" t="s">
        <v>861</v>
      </c>
      <c r="C69" s="129" t="str">
        <f t="shared" ref="C69:I69" si="20">+C$4</f>
        <v>2018 ACTUAL</v>
      </c>
      <c r="D69" s="129" t="str">
        <f t="shared" si="20"/>
        <v>2019 ACTUAL</v>
      </c>
      <c r="E69" s="129" t="str">
        <f t="shared" si="20"/>
        <v>2020 ACTUAL</v>
      </c>
      <c r="F69" s="129" t="str">
        <f t="shared" si="20"/>
        <v>2021 ACTUAL</v>
      </c>
      <c r="G69" s="129" t="str">
        <f t="shared" si="20"/>
        <v>2022 ACTUAL</v>
      </c>
      <c r="H69" s="129" t="str">
        <f t="shared" si="20"/>
        <v xml:space="preserve">2023 BUDGET </v>
      </c>
      <c r="I69" s="129" t="str">
        <f t="shared" si="20"/>
        <v xml:space="preserve">2024 BUDGET </v>
      </c>
    </row>
    <row r="70" spans="1:12" x14ac:dyDescent="0.2">
      <c r="A70" s="198" t="s">
        <v>2471</v>
      </c>
      <c r="B70" s="4" t="s">
        <v>135</v>
      </c>
      <c r="C70" s="10"/>
      <c r="D70" s="10"/>
      <c r="E70" s="10"/>
      <c r="F70" s="10"/>
      <c r="G70" s="10"/>
      <c r="H70" s="10"/>
      <c r="I70" s="10"/>
    </row>
    <row r="71" spans="1:12" x14ac:dyDescent="0.2">
      <c r="A71" s="16" t="s">
        <v>867</v>
      </c>
      <c r="B71" s="126" t="s">
        <v>2164</v>
      </c>
      <c r="C71" s="10">
        <v>26184.66</v>
      </c>
      <c r="D71" s="10">
        <v>27127.46</v>
      </c>
      <c r="E71" s="10">
        <v>28538.19</v>
      </c>
      <c r="F71" s="10">
        <v>29798.65</v>
      </c>
      <c r="G71" s="10">
        <v>31640.5</v>
      </c>
      <c r="H71" s="10">
        <v>31446</v>
      </c>
      <c r="I71" s="10">
        <v>0</v>
      </c>
    </row>
    <row r="72" spans="1:12" x14ac:dyDescent="0.2">
      <c r="A72" s="16" t="s">
        <v>868</v>
      </c>
      <c r="B72" s="125" t="s">
        <v>1889</v>
      </c>
      <c r="C72" s="10">
        <v>417.6</v>
      </c>
      <c r="D72" s="10">
        <v>708.4</v>
      </c>
      <c r="E72" s="10">
        <v>777.69</v>
      </c>
      <c r="F72" s="10">
        <v>837.75</v>
      </c>
      <c r="G72" s="10">
        <v>932.43</v>
      </c>
      <c r="H72" s="10">
        <v>960</v>
      </c>
      <c r="I72" s="10">
        <v>0</v>
      </c>
    </row>
    <row r="73" spans="1:12" x14ac:dyDescent="0.2">
      <c r="A73" s="16" t="s">
        <v>823</v>
      </c>
      <c r="B73" s="126" t="s">
        <v>1891</v>
      </c>
      <c r="C73" s="10">
        <v>1980.18</v>
      </c>
      <c r="D73" s="10">
        <v>2075.1799999999998</v>
      </c>
      <c r="E73" s="10">
        <v>2187.8000000000002</v>
      </c>
      <c r="F73" s="10">
        <v>2289.2600000000002</v>
      </c>
      <c r="G73" s="10">
        <v>2436.8200000000002</v>
      </c>
      <c r="H73" s="10">
        <v>2479</v>
      </c>
      <c r="I73" s="10">
        <v>0</v>
      </c>
    </row>
    <row r="74" spans="1:12" x14ac:dyDescent="0.2">
      <c r="A74" s="16" t="s">
        <v>824</v>
      </c>
      <c r="B74" s="126" t="s">
        <v>1892</v>
      </c>
      <c r="C74" s="10">
        <v>3115.29</v>
      </c>
      <c r="D74" s="10">
        <v>3303.68</v>
      </c>
      <c r="E74" s="10">
        <v>3609.21</v>
      </c>
      <c r="F74" s="10">
        <v>3812.15</v>
      </c>
      <c r="G74" s="10">
        <v>4050.32</v>
      </c>
      <c r="H74" s="10">
        <v>4031</v>
      </c>
      <c r="I74" s="10">
        <v>0</v>
      </c>
    </row>
    <row r="75" spans="1:12" x14ac:dyDescent="0.2">
      <c r="A75" s="16" t="s">
        <v>825</v>
      </c>
      <c r="B75" s="126" t="s">
        <v>1893</v>
      </c>
      <c r="C75" s="10">
        <v>6960</v>
      </c>
      <c r="D75" s="10">
        <v>7765</v>
      </c>
      <c r="E75" s="10">
        <v>7800</v>
      </c>
      <c r="F75" s="10">
        <v>7800</v>
      </c>
      <c r="G75" s="10">
        <v>7800</v>
      </c>
      <c r="H75" s="10">
        <v>7878</v>
      </c>
      <c r="I75" s="10">
        <v>0</v>
      </c>
    </row>
    <row r="76" spans="1:12" x14ac:dyDescent="0.2">
      <c r="A76" s="16" t="s">
        <v>826</v>
      </c>
      <c r="B76" s="126" t="s">
        <v>1895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f t="shared" ref="H76:I78" si="21">+H76</f>
        <v>0</v>
      </c>
    </row>
    <row r="77" spans="1:12" x14ac:dyDescent="0.2">
      <c r="A77" s="16" t="s">
        <v>827</v>
      </c>
      <c r="B77" s="126" t="s">
        <v>2025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f t="shared" si="21"/>
        <v>0</v>
      </c>
    </row>
    <row r="78" spans="1:12" x14ac:dyDescent="0.2">
      <c r="A78" s="16" t="s">
        <v>828</v>
      </c>
      <c r="B78" s="126" t="s">
        <v>1900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f t="shared" si="21"/>
        <v>0</v>
      </c>
      <c r="I78" s="10">
        <f t="shared" si="21"/>
        <v>0</v>
      </c>
    </row>
    <row r="79" spans="1:12" x14ac:dyDescent="0.2">
      <c r="A79" s="16"/>
      <c r="B79" s="6" t="s">
        <v>1118</v>
      </c>
      <c r="C79" s="38">
        <f t="shared" ref="C79:G79" si="22">SUM(C71:C78)</f>
        <v>38657.729999999996</v>
      </c>
      <c r="D79" s="38">
        <f t="shared" si="22"/>
        <v>40979.72</v>
      </c>
      <c r="E79" s="38">
        <f t="shared" si="22"/>
        <v>42912.89</v>
      </c>
      <c r="F79" s="38">
        <f t="shared" si="22"/>
        <v>44537.810000000005</v>
      </c>
      <c r="G79" s="38">
        <f t="shared" si="22"/>
        <v>46860.07</v>
      </c>
      <c r="H79" s="38">
        <f t="shared" ref="H79:I79" si="23">SUM(H71:H78)</f>
        <v>46794</v>
      </c>
      <c r="I79" s="38">
        <f t="shared" si="23"/>
        <v>0</v>
      </c>
    </row>
    <row r="80" spans="1:12" x14ac:dyDescent="0.2">
      <c r="A80" s="16"/>
      <c r="B80" s="6"/>
      <c r="C80" s="10"/>
      <c r="D80" s="10"/>
      <c r="E80" s="10"/>
      <c r="F80" s="10"/>
      <c r="G80" s="10"/>
      <c r="H80" s="10"/>
      <c r="I80" s="10"/>
    </row>
    <row r="81" spans="1:9" ht="13.5" thickBot="1" x14ac:dyDescent="0.25">
      <c r="A81" s="16"/>
      <c r="B81" s="6" t="s">
        <v>1341</v>
      </c>
      <c r="C81" s="36">
        <f t="shared" ref="C81:G81" si="24">C64+C79</f>
        <v>1150476.1699999997</v>
      </c>
      <c r="D81" s="36">
        <f t="shared" si="24"/>
        <v>1095004.2300000002</v>
      </c>
      <c r="E81" s="36">
        <f t="shared" si="24"/>
        <v>1105497.1199999996</v>
      </c>
      <c r="F81" s="36">
        <f t="shared" si="24"/>
        <v>1168701.5200000003</v>
      </c>
      <c r="G81" s="36">
        <f t="shared" si="24"/>
        <v>1332022.2799999998</v>
      </c>
      <c r="H81" s="36">
        <f t="shared" ref="H81:I81" si="25">H64+H79</f>
        <v>1522047.8</v>
      </c>
      <c r="I81" s="36">
        <f t="shared" si="25"/>
        <v>1931398.24</v>
      </c>
    </row>
    <row r="82" spans="1:9" ht="9.75" customHeight="1" thickTop="1" x14ac:dyDescent="0.2">
      <c r="A82" s="16"/>
      <c r="B82" s="6"/>
      <c r="C82" s="10"/>
      <c r="D82" s="10"/>
      <c r="E82" s="10"/>
      <c r="F82" s="10"/>
      <c r="G82" s="10"/>
      <c r="H82" s="10"/>
      <c r="I82" s="10"/>
    </row>
    <row r="83" spans="1:9" x14ac:dyDescent="0.2">
      <c r="B83" s="4" t="s">
        <v>653</v>
      </c>
      <c r="C83" s="10"/>
      <c r="D83" s="10"/>
      <c r="E83" s="10"/>
      <c r="F83" s="10"/>
      <c r="G83" s="10"/>
      <c r="H83" s="10"/>
      <c r="I83" s="10"/>
    </row>
    <row r="84" spans="1:9" x14ac:dyDescent="0.2">
      <c r="B84" s="4" t="s">
        <v>733</v>
      </c>
      <c r="C84" s="10"/>
      <c r="D84" s="10"/>
      <c r="E84" s="10"/>
      <c r="F84" s="10"/>
      <c r="G84" s="10"/>
      <c r="H84" s="10"/>
      <c r="I84" s="10"/>
    </row>
    <row r="85" spans="1:9" x14ac:dyDescent="0.2">
      <c r="B85" s="4" t="s">
        <v>1343</v>
      </c>
      <c r="C85" s="10"/>
      <c r="D85" s="10"/>
      <c r="E85" s="10"/>
      <c r="F85" s="10"/>
      <c r="G85" s="10"/>
      <c r="H85" s="10"/>
      <c r="I85" s="10"/>
    </row>
    <row r="86" spans="1:9" x14ac:dyDescent="0.2">
      <c r="C86" s="129" t="str">
        <f t="shared" ref="C86:I86" si="26">+C$4</f>
        <v>2018 ACTUAL</v>
      </c>
      <c r="D86" s="129" t="str">
        <f t="shared" si="26"/>
        <v>2019 ACTUAL</v>
      </c>
      <c r="E86" s="129" t="str">
        <f t="shared" si="26"/>
        <v>2020 ACTUAL</v>
      </c>
      <c r="F86" s="129" t="str">
        <f t="shared" si="26"/>
        <v>2021 ACTUAL</v>
      </c>
      <c r="G86" s="129" t="str">
        <f t="shared" si="26"/>
        <v>2022 ACTUAL</v>
      </c>
      <c r="H86" s="129" t="str">
        <f t="shared" si="26"/>
        <v xml:space="preserve">2023 BUDGET </v>
      </c>
      <c r="I86" s="129" t="str">
        <f t="shared" si="26"/>
        <v xml:space="preserve">2024 BUDGET </v>
      </c>
    </row>
    <row r="87" spans="1:9" x14ac:dyDescent="0.2">
      <c r="C87" s="112"/>
      <c r="D87" s="112"/>
      <c r="E87" s="112"/>
      <c r="F87" s="112"/>
      <c r="G87" s="112"/>
      <c r="H87" s="112"/>
      <c r="I87" s="112"/>
    </row>
    <row r="88" spans="1:9" x14ac:dyDescent="0.2">
      <c r="B88" t="s">
        <v>1344</v>
      </c>
      <c r="C88" s="10">
        <f>346680-0.05</f>
        <v>346679.95</v>
      </c>
      <c r="D88" s="10">
        <f t="shared" ref="D88:I88" si="27">C96</f>
        <v>466562.03000000026</v>
      </c>
      <c r="E88" s="10">
        <f t="shared" si="27"/>
        <v>552936.04</v>
      </c>
      <c r="F88" s="10">
        <f t="shared" si="27"/>
        <v>920019.88000000035</v>
      </c>
      <c r="G88" s="10">
        <f t="shared" si="27"/>
        <v>1190751.93</v>
      </c>
      <c r="H88" s="10">
        <f t="shared" si="27"/>
        <v>563555.8200000003</v>
      </c>
      <c r="I88" s="10">
        <f t="shared" si="27"/>
        <v>403334.46241375082</v>
      </c>
    </row>
    <row r="89" spans="1:9" x14ac:dyDescent="0.2">
      <c r="C89" s="10"/>
      <c r="D89" s="10"/>
      <c r="E89" s="10"/>
      <c r="F89" s="10"/>
      <c r="G89" s="10"/>
      <c r="H89" s="10"/>
      <c r="I89" s="10"/>
    </row>
    <row r="90" spans="1:9" x14ac:dyDescent="0.2">
      <c r="B90" t="s">
        <v>1345</v>
      </c>
      <c r="C90" s="10">
        <f t="shared" ref="C90:G90" si="28">C33</f>
        <v>1270358.25</v>
      </c>
      <c r="D90" s="10">
        <f t="shared" si="28"/>
        <v>1181378.24</v>
      </c>
      <c r="E90" s="10">
        <f t="shared" si="28"/>
        <v>1472580.96</v>
      </c>
      <c r="F90" s="10">
        <f t="shared" si="28"/>
        <v>1439433.5699999998</v>
      </c>
      <c r="G90" s="10">
        <f t="shared" si="28"/>
        <v>704826.17</v>
      </c>
      <c r="H90" s="10">
        <f t="shared" ref="H90:I90" si="29">H33</f>
        <v>1361826.4424137506</v>
      </c>
      <c r="I90" s="10">
        <f t="shared" si="29"/>
        <v>1571967.5663739198</v>
      </c>
    </row>
    <row r="91" spans="1:9" x14ac:dyDescent="0.2">
      <c r="C91" s="10"/>
      <c r="D91" s="10"/>
      <c r="E91" s="10"/>
      <c r="F91" s="10"/>
      <c r="G91" s="10"/>
      <c r="H91" s="10"/>
      <c r="I91" s="10"/>
    </row>
    <row r="92" spans="1:9" x14ac:dyDescent="0.2">
      <c r="B92" t="s">
        <v>1346</v>
      </c>
      <c r="C92" s="10">
        <f t="shared" ref="C92:G92" si="30">C81</f>
        <v>1150476.1699999997</v>
      </c>
      <c r="D92" s="10">
        <f t="shared" si="30"/>
        <v>1095004.2300000002</v>
      </c>
      <c r="E92" s="10">
        <f t="shared" si="30"/>
        <v>1105497.1199999996</v>
      </c>
      <c r="F92" s="10">
        <f t="shared" si="30"/>
        <v>1168701.5200000003</v>
      </c>
      <c r="G92" s="10">
        <f t="shared" si="30"/>
        <v>1332022.2799999998</v>
      </c>
      <c r="H92" s="10">
        <f t="shared" ref="H92:I92" si="31">H81</f>
        <v>1522047.8</v>
      </c>
      <c r="I92" s="10">
        <f t="shared" si="31"/>
        <v>1931398.24</v>
      </c>
    </row>
    <row r="93" spans="1:9" x14ac:dyDescent="0.2">
      <c r="C93" s="10"/>
      <c r="D93" s="10"/>
      <c r="E93" s="10"/>
      <c r="F93" s="10"/>
      <c r="G93" s="10"/>
      <c r="H93" s="10"/>
      <c r="I93" s="10"/>
    </row>
    <row r="94" spans="1:9" x14ac:dyDescent="0.2">
      <c r="B94" t="s">
        <v>1347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</row>
    <row r="95" spans="1:9" x14ac:dyDescent="0.2">
      <c r="C95" s="10"/>
      <c r="D95" s="10"/>
      <c r="E95" s="10"/>
      <c r="F95" s="10"/>
      <c r="G95" s="10"/>
      <c r="H95" s="10"/>
      <c r="I95" s="10"/>
    </row>
    <row r="96" spans="1:9" ht="13.5" thickBot="1" x14ac:dyDescent="0.25">
      <c r="B96" t="s">
        <v>1348</v>
      </c>
      <c r="C96" s="36">
        <f t="shared" ref="C96:G96" si="32">C88+C90-C92+C94</f>
        <v>466562.03000000026</v>
      </c>
      <c r="D96" s="36">
        <f t="shared" si="32"/>
        <v>552936.04</v>
      </c>
      <c r="E96" s="36">
        <f t="shared" si="32"/>
        <v>920019.88000000035</v>
      </c>
      <c r="F96" s="36">
        <f t="shared" si="32"/>
        <v>1190751.93</v>
      </c>
      <c r="G96" s="36">
        <f t="shared" si="32"/>
        <v>563555.8200000003</v>
      </c>
      <c r="H96" s="36">
        <f t="shared" ref="H96:I96" si="33">H88+H90-H92+H94</f>
        <v>403334.46241375082</v>
      </c>
      <c r="I96" s="36">
        <f t="shared" si="33"/>
        <v>43903.788787670666</v>
      </c>
    </row>
    <row r="97" spans="3:7" ht="13.5" thickTop="1" x14ac:dyDescent="0.2"/>
    <row r="98" spans="3:7" x14ac:dyDescent="0.2">
      <c r="C98" s="10"/>
      <c r="D98" s="10"/>
      <c r="E98" s="115"/>
      <c r="G98" s="115"/>
    </row>
    <row r="99" spans="3:7" x14ac:dyDescent="0.2">
      <c r="G99" s="10"/>
    </row>
    <row r="100" spans="3:7" x14ac:dyDescent="0.2">
      <c r="E100" s="10"/>
    </row>
  </sheetData>
  <phoneticPr fontId="2" type="noConversion"/>
  <pageMargins left="0.5" right="0.5" top="1" bottom="1" header="0.5" footer="0.5"/>
  <pageSetup scale="80" firstPageNumber="37" fitToHeight="0" orientation="portrait" useFirstPageNumber="1" r:id="rId1"/>
  <headerFooter alignWithMargins="0">
    <oddFooter>&amp;C&amp;P</oddFooter>
  </headerFooter>
  <rowBreaks count="1" manualBreakCount="1">
    <brk id="64" max="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L126"/>
  <sheetViews>
    <sheetView zoomScaleNormal="100" workbookViewId="0">
      <selection activeCell="E19" sqref="E19"/>
    </sheetView>
  </sheetViews>
  <sheetFormatPr defaultRowHeight="12.75" x14ac:dyDescent="0.2"/>
  <cols>
    <col min="1" max="1" width="14.42578125" style="238" customWidth="1"/>
    <col min="2" max="2" width="35.7109375" customWidth="1"/>
    <col min="3" max="3" width="14.28515625" hidden="1" customWidth="1"/>
    <col min="4" max="4" width="13.285156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  <col min="10" max="10" width="10.28515625" bestFit="1" customWidth="1"/>
    <col min="11" max="11" width="10.85546875" bestFit="1" customWidth="1"/>
    <col min="12" max="12" width="11.28515625" bestFit="1" customWidth="1"/>
  </cols>
  <sheetData>
    <row r="1" spans="1:9" x14ac:dyDescent="0.2">
      <c r="A1" s="245" t="s">
        <v>1433</v>
      </c>
      <c r="B1" s="4" t="s">
        <v>768</v>
      </c>
      <c r="C1" s="1" t="s">
        <v>1433</v>
      </c>
      <c r="D1" s="1" t="s">
        <v>1433</v>
      </c>
      <c r="E1" s="1" t="s">
        <v>1433</v>
      </c>
      <c r="F1" s="1" t="s">
        <v>1433</v>
      </c>
      <c r="G1" s="1" t="s">
        <v>1433</v>
      </c>
    </row>
    <row r="2" spans="1:9" x14ac:dyDescent="0.2">
      <c r="A2" s="245"/>
      <c r="B2" s="4" t="s">
        <v>1125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3" spans="1:9" x14ac:dyDescent="0.2">
      <c r="A3" s="245"/>
      <c r="B3" s="4"/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9" x14ac:dyDescent="0.2">
      <c r="A4" s="245"/>
      <c r="B4" s="4" t="s">
        <v>313</v>
      </c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246" t="s">
        <v>995</v>
      </c>
      <c r="B5" s="4" t="s">
        <v>769</v>
      </c>
    </row>
    <row r="6" spans="1:9" hidden="1" x14ac:dyDescent="0.2">
      <c r="A6" s="245" t="s">
        <v>1173</v>
      </c>
      <c r="B6" s="125" t="s">
        <v>2165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x14ac:dyDescent="0.2">
      <c r="A7" s="245" t="s">
        <v>1170</v>
      </c>
      <c r="B7" s="125" t="s">
        <v>2166</v>
      </c>
      <c r="C7" s="10">
        <v>524993</v>
      </c>
      <c r="D7" s="10">
        <v>523915</v>
      </c>
      <c r="E7" s="10">
        <v>530685</v>
      </c>
      <c r="F7" s="10">
        <v>527989</v>
      </c>
      <c r="G7" s="10">
        <v>533168</v>
      </c>
      <c r="H7" s="10">
        <v>533267</v>
      </c>
      <c r="I7" s="10">
        <v>646545</v>
      </c>
    </row>
    <row r="8" spans="1:9" hidden="1" x14ac:dyDescent="0.2">
      <c r="A8" s="245" t="s">
        <v>439</v>
      </c>
      <c r="B8" s="125" t="s">
        <v>2167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idden="1" x14ac:dyDescent="0.2">
      <c r="A9" s="245" t="s">
        <v>1171</v>
      </c>
      <c r="B9" s="125" t="s">
        <v>2168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2.75" hidden="1" customHeight="1" x14ac:dyDescent="0.2">
      <c r="A10" s="245" t="s">
        <v>440</v>
      </c>
      <c r="B10" s="125" t="s">
        <v>2169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idden="1" x14ac:dyDescent="0.2">
      <c r="A11" s="245" t="s">
        <v>1172</v>
      </c>
      <c r="B11" s="125" t="s">
        <v>2170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</row>
    <row r="12" spans="1:9" x14ac:dyDescent="0.2">
      <c r="A12" s="247" t="s">
        <v>1587</v>
      </c>
      <c r="B12" s="126" t="s">
        <v>2171</v>
      </c>
      <c r="C12" s="10">
        <v>6500</v>
      </c>
      <c r="D12" s="10">
        <v>6500</v>
      </c>
      <c r="E12" s="10">
        <v>5850</v>
      </c>
      <c r="F12" s="10">
        <v>0</v>
      </c>
      <c r="G12" s="10">
        <v>0</v>
      </c>
      <c r="H12" s="10">
        <v>0</v>
      </c>
      <c r="I12" s="10">
        <v>0</v>
      </c>
    </row>
    <row r="13" spans="1:9" ht="13.15" hidden="1" customHeight="1" x14ac:dyDescent="0.2">
      <c r="A13" s="245" t="s">
        <v>1048</v>
      </c>
      <c r="B13" s="125" t="s">
        <v>2172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</row>
    <row r="14" spans="1:9" ht="13.15" customHeight="1" x14ac:dyDescent="0.2">
      <c r="A14" s="245" t="s">
        <v>1721</v>
      </c>
      <c r="B14" s="125" t="s">
        <v>2173</v>
      </c>
      <c r="C14" s="10">
        <v>11560</v>
      </c>
      <c r="D14" s="10">
        <v>874.29</v>
      </c>
      <c r="E14" s="10">
        <v>127180</v>
      </c>
      <c r="F14" s="10">
        <v>5108.8</v>
      </c>
      <c r="G14" s="10">
        <v>5364.24</v>
      </c>
      <c r="H14" s="10">
        <v>5364.24</v>
      </c>
      <c r="I14" s="10">
        <v>5364</v>
      </c>
    </row>
    <row r="15" spans="1:9" ht="13.15" hidden="1" customHeight="1" x14ac:dyDescent="0.2">
      <c r="A15" s="245" t="s">
        <v>185</v>
      </c>
      <c r="B15" s="125" t="s">
        <v>135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x14ac:dyDescent="0.2">
      <c r="A16" s="245" t="s">
        <v>1174</v>
      </c>
      <c r="B16" s="125" t="s">
        <v>2174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72239.009999999995</v>
      </c>
    </row>
    <row r="17" spans="1:9" x14ac:dyDescent="0.2">
      <c r="A17" s="245" t="s">
        <v>441</v>
      </c>
      <c r="B17" s="125" t="s">
        <v>1761</v>
      </c>
      <c r="C17" s="12">
        <v>0.32</v>
      </c>
      <c r="D17" s="12">
        <v>110.29</v>
      </c>
      <c r="E17" s="12">
        <v>143.75</v>
      </c>
      <c r="F17" s="12">
        <v>243.05</v>
      </c>
      <c r="G17" s="12">
        <v>472.92</v>
      </c>
      <c r="H17" s="12">
        <v>0</v>
      </c>
      <c r="I17" s="12">
        <v>0</v>
      </c>
    </row>
    <row r="18" spans="1:9" x14ac:dyDescent="0.2">
      <c r="A18" s="245"/>
      <c r="B18" s="6" t="s">
        <v>1118</v>
      </c>
      <c r="C18" s="38">
        <f t="shared" ref="C18:G18" si="0">SUM(C6:C17)</f>
        <v>543053.31999999995</v>
      </c>
      <c r="D18" s="38">
        <f t="shared" si="0"/>
        <v>531399.58000000007</v>
      </c>
      <c r="E18" s="38">
        <f t="shared" si="0"/>
        <v>663858.75</v>
      </c>
      <c r="F18" s="38">
        <f t="shared" si="0"/>
        <v>533340.85000000009</v>
      </c>
      <c r="G18" s="38">
        <f t="shared" si="0"/>
        <v>539005.16</v>
      </c>
      <c r="H18" s="38">
        <f t="shared" ref="H18:I18" si="1">SUM(H6:H17)</f>
        <v>538631.24</v>
      </c>
      <c r="I18" s="38">
        <f t="shared" si="1"/>
        <v>724148.01</v>
      </c>
    </row>
    <row r="19" spans="1:9" x14ac:dyDescent="0.2">
      <c r="C19" s="10"/>
      <c r="D19" s="10"/>
      <c r="E19" s="10"/>
      <c r="F19" s="10"/>
      <c r="G19" s="10"/>
      <c r="H19" s="10"/>
      <c r="I19" s="10"/>
    </row>
    <row r="20" spans="1:9" ht="13.5" thickBot="1" x14ac:dyDescent="0.25">
      <c r="A20" s="245"/>
      <c r="B20" s="6" t="s">
        <v>137</v>
      </c>
      <c r="C20" s="36">
        <f t="shared" ref="C20:G20" si="2">SUM(C18)</f>
        <v>543053.31999999995</v>
      </c>
      <c r="D20" s="36">
        <f t="shared" si="2"/>
        <v>531399.58000000007</v>
      </c>
      <c r="E20" s="36">
        <f t="shared" si="2"/>
        <v>663858.75</v>
      </c>
      <c r="F20" s="36">
        <f t="shared" si="2"/>
        <v>533340.85000000009</v>
      </c>
      <c r="G20" s="36">
        <f t="shared" si="2"/>
        <v>539005.16</v>
      </c>
      <c r="H20" s="36">
        <f t="shared" ref="H20:I20" si="3">SUM(H18)</f>
        <v>538631.24</v>
      </c>
      <c r="I20" s="36">
        <f t="shared" si="3"/>
        <v>724148.01</v>
      </c>
    </row>
    <row r="21" spans="1:9" ht="13.5" thickTop="1" x14ac:dyDescent="0.2">
      <c r="A21" s="245"/>
      <c r="B21" s="6"/>
      <c r="C21" s="10"/>
      <c r="D21" s="10"/>
      <c r="E21" s="10"/>
      <c r="F21" s="10"/>
      <c r="G21" s="10"/>
      <c r="H21" s="10"/>
      <c r="I21" s="10"/>
    </row>
    <row r="22" spans="1:9" x14ac:dyDescent="0.2">
      <c r="A22" s="245"/>
      <c r="B22" s="4" t="s">
        <v>861</v>
      </c>
      <c r="C22" s="112"/>
      <c r="D22" s="112"/>
      <c r="E22" s="112"/>
      <c r="F22" s="112"/>
      <c r="G22" s="112"/>
      <c r="H22" s="112"/>
      <c r="I22" s="112"/>
    </row>
    <row r="23" spans="1:9" x14ac:dyDescent="0.2">
      <c r="A23" s="246" t="s">
        <v>2326</v>
      </c>
      <c r="B23" s="4" t="s">
        <v>2327</v>
      </c>
      <c r="C23" s="10"/>
      <c r="D23" s="10"/>
      <c r="E23" s="10"/>
      <c r="F23" s="10"/>
      <c r="G23" s="10"/>
      <c r="H23" s="10"/>
      <c r="I23" s="10"/>
    </row>
    <row r="24" spans="1:9" x14ac:dyDescent="0.2">
      <c r="A24" s="248" t="s">
        <v>2328</v>
      </c>
      <c r="B24" s="126" t="s">
        <v>2329</v>
      </c>
      <c r="C24" s="12">
        <v>0</v>
      </c>
      <c r="D24" s="12">
        <v>0</v>
      </c>
      <c r="E24" s="12">
        <v>123220</v>
      </c>
      <c r="F24" s="12">
        <v>0</v>
      </c>
      <c r="G24" s="12">
        <v>0</v>
      </c>
      <c r="H24" s="12">
        <v>0</v>
      </c>
      <c r="I24" s="12">
        <v>0</v>
      </c>
    </row>
    <row r="25" spans="1:9" x14ac:dyDescent="0.2">
      <c r="A25" s="247"/>
      <c r="B25" s="6" t="s">
        <v>1118</v>
      </c>
      <c r="C25" s="38">
        <f t="shared" ref="C25:G25" si="4">SUM(C24)</f>
        <v>0</v>
      </c>
      <c r="D25" s="38">
        <f t="shared" si="4"/>
        <v>0</v>
      </c>
      <c r="E25" s="38">
        <f t="shared" si="4"/>
        <v>123220</v>
      </c>
      <c r="F25" s="38">
        <f t="shared" si="4"/>
        <v>0</v>
      </c>
      <c r="G25" s="38">
        <f t="shared" si="4"/>
        <v>0</v>
      </c>
      <c r="H25" s="38">
        <f t="shared" ref="H25:I25" si="5">SUM(H24)</f>
        <v>0</v>
      </c>
      <c r="I25" s="38">
        <f t="shared" si="5"/>
        <v>0</v>
      </c>
    </row>
    <row r="26" spans="1:9" x14ac:dyDescent="0.2">
      <c r="A26" s="245"/>
      <c r="B26" s="4"/>
      <c r="C26" s="112"/>
      <c r="D26" s="112"/>
      <c r="E26" s="112"/>
      <c r="F26" s="112"/>
      <c r="G26" s="112"/>
      <c r="H26" s="112"/>
      <c r="I26" s="112"/>
    </row>
    <row r="27" spans="1:9" x14ac:dyDescent="0.2">
      <c r="A27" s="246" t="s">
        <v>186</v>
      </c>
      <c r="B27" s="4" t="s">
        <v>130</v>
      </c>
      <c r="C27" s="10"/>
      <c r="D27" s="10"/>
      <c r="E27" s="10"/>
      <c r="F27" s="10"/>
      <c r="G27" s="10"/>
      <c r="H27" s="10"/>
      <c r="I27" s="10"/>
    </row>
    <row r="28" spans="1:9" x14ac:dyDescent="0.2">
      <c r="A28" s="245" t="s">
        <v>1127</v>
      </c>
      <c r="B28" s="125" t="s">
        <v>2158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</row>
    <row r="29" spans="1:9" x14ac:dyDescent="0.2">
      <c r="A29" s="245" t="s">
        <v>1126</v>
      </c>
      <c r="B29" s="125" t="s">
        <v>2175</v>
      </c>
      <c r="C29" s="10">
        <v>260985.32</v>
      </c>
      <c r="D29" s="10">
        <v>306750.94</v>
      </c>
      <c r="E29" s="10">
        <v>289120.13</v>
      </c>
      <c r="F29" s="10">
        <v>300484.32</v>
      </c>
      <c r="G29" s="10">
        <v>304683.19</v>
      </c>
      <c r="H29" s="10">
        <v>318376</v>
      </c>
      <c r="I29" s="10">
        <v>306992</v>
      </c>
    </row>
    <row r="30" spans="1:9" x14ac:dyDescent="0.2">
      <c r="A30" s="245" t="s">
        <v>1041</v>
      </c>
      <c r="B30" s="126" t="s">
        <v>2176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f t="shared" ref="H30:I47" si="6">+G30</f>
        <v>0</v>
      </c>
      <c r="I30" s="10">
        <f t="shared" si="6"/>
        <v>0</v>
      </c>
    </row>
    <row r="31" spans="1:9" x14ac:dyDescent="0.2">
      <c r="A31" s="245" t="s">
        <v>2642</v>
      </c>
      <c r="B31" s="126" t="s">
        <v>2634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0">
        <v>0</v>
      </c>
      <c r="I31" s="10">
        <v>54340</v>
      </c>
    </row>
    <row r="32" spans="1:9" x14ac:dyDescent="0.2">
      <c r="A32" s="245" t="s">
        <v>1531</v>
      </c>
      <c r="B32" s="126" t="s">
        <v>2177</v>
      </c>
      <c r="C32" s="10">
        <v>1934.5</v>
      </c>
      <c r="D32" s="10">
        <v>4670.5</v>
      </c>
      <c r="E32" s="10">
        <v>4920.42</v>
      </c>
      <c r="F32" s="10">
        <v>5357.15</v>
      </c>
      <c r="G32" s="10">
        <v>3836.72</v>
      </c>
      <c r="H32" s="10">
        <v>2820</v>
      </c>
      <c r="I32" s="10">
        <v>1380</v>
      </c>
    </row>
    <row r="33" spans="1:12" x14ac:dyDescent="0.2">
      <c r="A33" s="245" t="s">
        <v>671</v>
      </c>
      <c r="B33" s="126" t="s">
        <v>1956</v>
      </c>
      <c r="C33" s="10">
        <v>15107.37</v>
      </c>
      <c r="D33" s="10">
        <v>17191.62</v>
      </c>
      <c r="E33" s="10">
        <v>15287.85</v>
      </c>
      <c r="F33" s="10">
        <v>16342.74</v>
      </c>
      <c r="G33" s="10">
        <v>15798.86</v>
      </c>
      <c r="H33" s="10">
        <v>18000</v>
      </c>
      <c r="I33" s="10">
        <v>16500</v>
      </c>
      <c r="J33" s="5"/>
      <c r="K33" s="5"/>
    </row>
    <row r="34" spans="1:12" x14ac:dyDescent="0.2">
      <c r="A34" s="245" t="s">
        <v>1128</v>
      </c>
      <c r="B34" s="125" t="s">
        <v>1891</v>
      </c>
      <c r="C34" s="10">
        <v>20277.95</v>
      </c>
      <c r="D34" s="10">
        <v>23938.17</v>
      </c>
      <c r="E34" s="10">
        <v>22697.16</v>
      </c>
      <c r="F34" s="10">
        <v>25038.82</v>
      </c>
      <c r="G34" s="10">
        <v>23641.79</v>
      </c>
      <c r="H34" s="10">
        <v>25948</v>
      </c>
      <c r="I34" s="10">
        <v>25290</v>
      </c>
      <c r="J34" s="10"/>
      <c r="K34" s="10"/>
    </row>
    <row r="35" spans="1:12" x14ac:dyDescent="0.2">
      <c r="A35" s="245" t="s">
        <v>1129</v>
      </c>
      <c r="B35" s="125" t="s">
        <v>1892</v>
      </c>
      <c r="C35" s="10">
        <v>32431.4</v>
      </c>
      <c r="D35" s="10">
        <v>38964.629999999997</v>
      </c>
      <c r="E35" s="10">
        <v>37924.49</v>
      </c>
      <c r="F35" s="10">
        <v>42389.97</v>
      </c>
      <c r="G35" s="10">
        <v>39066.86</v>
      </c>
      <c r="H35" s="10">
        <v>42196</v>
      </c>
      <c r="I35" s="10">
        <v>41159</v>
      </c>
    </row>
    <row r="36" spans="1:12" x14ac:dyDescent="0.2">
      <c r="A36" s="245" t="s">
        <v>1130</v>
      </c>
      <c r="B36" s="125" t="s">
        <v>1893</v>
      </c>
      <c r="C36" s="10">
        <v>32569.46</v>
      </c>
      <c r="D36" s="10">
        <v>54719.14</v>
      </c>
      <c r="E36" s="10">
        <v>39000</v>
      </c>
      <c r="F36" s="10">
        <v>43921.440000000002</v>
      </c>
      <c r="G36" s="10">
        <v>38707.19</v>
      </c>
      <c r="H36" s="10">
        <v>55148</v>
      </c>
      <c r="I36" s="10">
        <v>31200</v>
      </c>
      <c r="L36" s="5"/>
    </row>
    <row r="37" spans="1:12" x14ac:dyDescent="0.2">
      <c r="A37" s="245" t="s">
        <v>1131</v>
      </c>
      <c r="B37" s="125" t="s">
        <v>1895</v>
      </c>
      <c r="C37" s="10">
        <v>4099.96</v>
      </c>
      <c r="D37" s="10">
        <v>3174.66</v>
      </c>
      <c r="E37" s="10">
        <v>978.09</v>
      </c>
      <c r="F37" s="10">
        <v>108.89</v>
      </c>
      <c r="G37" s="10">
        <v>0</v>
      </c>
      <c r="H37" s="10">
        <f t="shared" si="6"/>
        <v>0</v>
      </c>
      <c r="I37" s="10">
        <f t="shared" si="6"/>
        <v>0</v>
      </c>
    </row>
    <row r="38" spans="1:12" x14ac:dyDescent="0.2">
      <c r="A38" s="245" t="s">
        <v>1689</v>
      </c>
      <c r="B38" s="125" t="s">
        <v>2025</v>
      </c>
      <c r="C38" s="10">
        <v>38135.72</v>
      </c>
      <c r="D38" s="10">
        <v>32319.55</v>
      </c>
      <c r="E38" s="10">
        <v>38855.71</v>
      </c>
      <c r="F38" s="10">
        <v>40133.949999999997</v>
      </c>
      <c r="G38" s="10">
        <v>49181.11</v>
      </c>
      <c r="H38" s="10">
        <v>35296</v>
      </c>
      <c r="I38" s="10">
        <f>16571+36000</f>
        <v>52571</v>
      </c>
    </row>
    <row r="39" spans="1:12" x14ac:dyDescent="0.2">
      <c r="A39" s="245" t="s">
        <v>1690</v>
      </c>
      <c r="B39" s="125" t="s">
        <v>2024</v>
      </c>
      <c r="C39" s="10">
        <v>42299.08</v>
      </c>
      <c r="D39" s="10">
        <v>12150.58</v>
      </c>
      <c r="E39" s="10">
        <v>48804.35</v>
      </c>
      <c r="F39" s="10">
        <v>37636.1</v>
      </c>
      <c r="G39" s="10">
        <v>21359.78</v>
      </c>
      <c r="H39" s="10">
        <v>7900</v>
      </c>
      <c r="I39" s="10">
        <v>35402</v>
      </c>
      <c r="J39" s="102"/>
      <c r="K39" s="102"/>
      <c r="L39" s="102"/>
    </row>
    <row r="40" spans="1:12" x14ac:dyDescent="0.2">
      <c r="A40" s="245" t="s">
        <v>1656</v>
      </c>
      <c r="B40" s="125" t="s">
        <v>1985</v>
      </c>
      <c r="C40" s="10">
        <v>8000</v>
      </c>
      <c r="D40" s="10">
        <v>0</v>
      </c>
      <c r="E40" s="10">
        <v>8000</v>
      </c>
      <c r="F40" s="10">
        <v>0</v>
      </c>
      <c r="G40" s="10">
        <v>0</v>
      </c>
      <c r="H40" s="10">
        <v>0</v>
      </c>
      <c r="I40" s="10">
        <f t="shared" si="6"/>
        <v>0</v>
      </c>
      <c r="J40" s="102"/>
      <c r="K40" s="102"/>
      <c r="L40" s="102"/>
    </row>
    <row r="41" spans="1:12" x14ac:dyDescent="0.2">
      <c r="A41" s="245" t="s">
        <v>1045</v>
      </c>
      <c r="B41" s="126" t="s">
        <v>2178</v>
      </c>
      <c r="C41" s="10">
        <v>2041.43</v>
      </c>
      <c r="D41" s="10">
        <v>2270</v>
      </c>
      <c r="E41" s="10">
        <v>895</v>
      </c>
      <c r="F41" s="10">
        <v>1497.4</v>
      </c>
      <c r="G41" s="10">
        <v>1170</v>
      </c>
      <c r="H41" s="10">
        <v>2000</v>
      </c>
      <c r="I41" s="10">
        <v>5000</v>
      </c>
      <c r="J41" s="102"/>
      <c r="K41" s="102"/>
      <c r="L41" s="102"/>
    </row>
    <row r="42" spans="1:12" x14ac:dyDescent="0.2">
      <c r="A42" s="245" t="s">
        <v>1132</v>
      </c>
      <c r="B42" s="125" t="s">
        <v>1898</v>
      </c>
      <c r="C42" s="10">
        <v>9616.06</v>
      </c>
      <c r="D42" s="10">
        <v>7576.32</v>
      </c>
      <c r="E42" s="10">
        <v>3672.07</v>
      </c>
      <c r="F42" s="10">
        <v>2855</v>
      </c>
      <c r="G42" s="10">
        <v>1571.72</v>
      </c>
      <c r="H42" s="10">
        <v>1000</v>
      </c>
      <c r="I42" s="10">
        <v>5000</v>
      </c>
      <c r="J42" s="102"/>
      <c r="K42" s="102"/>
      <c r="L42" s="102"/>
    </row>
    <row r="43" spans="1:12" x14ac:dyDescent="0.2">
      <c r="A43" s="245" t="s">
        <v>1685</v>
      </c>
      <c r="B43" s="125" t="s">
        <v>2163</v>
      </c>
      <c r="C43" s="10">
        <v>1606.74</v>
      </c>
      <c r="D43" s="10">
        <v>4547.76</v>
      </c>
      <c r="E43" s="10">
        <v>871.6</v>
      </c>
      <c r="F43" s="10">
        <v>89.6</v>
      </c>
      <c r="G43" s="10">
        <v>3188.1</v>
      </c>
      <c r="H43" s="10">
        <v>2000</v>
      </c>
      <c r="I43" s="10">
        <v>2000</v>
      </c>
    </row>
    <row r="44" spans="1:12" x14ac:dyDescent="0.2">
      <c r="A44" s="245" t="s">
        <v>1133</v>
      </c>
      <c r="B44" s="125" t="s">
        <v>1900</v>
      </c>
      <c r="C44" s="10">
        <v>10258.01</v>
      </c>
      <c r="D44" s="10">
        <v>3576.1</v>
      </c>
      <c r="E44" s="10">
        <v>5522.79</v>
      </c>
      <c r="F44" s="10">
        <v>2218.5700000000002</v>
      </c>
      <c r="G44" s="10">
        <v>8710.93</v>
      </c>
      <c r="H44" s="10">
        <v>1000</v>
      </c>
      <c r="I44" s="10">
        <v>10000</v>
      </c>
    </row>
    <row r="45" spans="1:12" x14ac:dyDescent="0.2">
      <c r="A45" s="247" t="s">
        <v>1693</v>
      </c>
      <c r="B45" s="125" t="s">
        <v>2027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f t="shared" si="6"/>
        <v>0</v>
      </c>
      <c r="I45" s="10">
        <f t="shared" si="6"/>
        <v>0</v>
      </c>
    </row>
    <row r="46" spans="1:12" x14ac:dyDescent="0.2">
      <c r="A46" s="247" t="s">
        <v>1694</v>
      </c>
      <c r="B46" s="126" t="s">
        <v>2179</v>
      </c>
      <c r="C46" s="10">
        <v>45630</v>
      </c>
      <c r="D46" s="10">
        <v>12065</v>
      </c>
      <c r="E46" s="10">
        <v>14135</v>
      </c>
      <c r="F46" s="10">
        <v>9915</v>
      </c>
      <c r="G46" s="10">
        <v>22251.8</v>
      </c>
      <c r="H46" s="10">
        <v>21583</v>
      </c>
      <c r="I46" s="10">
        <v>110000</v>
      </c>
    </row>
    <row r="47" spans="1:12" x14ac:dyDescent="0.2">
      <c r="A47" s="245" t="s">
        <v>1688</v>
      </c>
      <c r="B47" s="125" t="s">
        <v>2180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0">
        <f t="shared" si="6"/>
        <v>0</v>
      </c>
      <c r="I47" s="10">
        <f t="shared" si="6"/>
        <v>0</v>
      </c>
    </row>
    <row r="48" spans="1:12" x14ac:dyDescent="0.2">
      <c r="A48" s="245"/>
      <c r="B48" s="6" t="s">
        <v>1118</v>
      </c>
      <c r="C48" s="38">
        <f t="shared" ref="C48:G48" si="7">SUM(C28:C47)</f>
        <v>524993</v>
      </c>
      <c r="D48" s="38">
        <f t="shared" si="7"/>
        <v>523914.97</v>
      </c>
      <c r="E48" s="38">
        <f t="shared" si="7"/>
        <v>530684.65999999992</v>
      </c>
      <c r="F48" s="38">
        <f t="shared" si="7"/>
        <v>527988.94999999995</v>
      </c>
      <c r="G48" s="38">
        <f t="shared" si="7"/>
        <v>533168.04999999981</v>
      </c>
      <c r="H48" s="38">
        <f t="shared" ref="H48:I48" si="8">SUM(H28:H47)</f>
        <v>533267</v>
      </c>
      <c r="I48" s="38">
        <f t="shared" si="8"/>
        <v>696834</v>
      </c>
    </row>
    <row r="49" spans="1:9" x14ac:dyDescent="0.2">
      <c r="A49" s="245"/>
      <c r="B49" s="6"/>
      <c r="C49" s="10"/>
      <c r="D49" s="10"/>
      <c r="E49" s="10"/>
      <c r="F49" s="10"/>
      <c r="G49" s="10"/>
      <c r="H49" s="10"/>
      <c r="I49" s="10"/>
    </row>
    <row r="50" spans="1:9" x14ac:dyDescent="0.2">
      <c r="A50" s="246" t="s">
        <v>1588</v>
      </c>
      <c r="B50" s="6" t="s">
        <v>1590</v>
      </c>
      <c r="C50" s="10"/>
      <c r="D50" s="10"/>
      <c r="E50" s="10"/>
      <c r="F50" s="10"/>
      <c r="G50" s="10"/>
      <c r="H50" s="10"/>
      <c r="I50" s="10"/>
    </row>
    <row r="51" spans="1:9" x14ac:dyDescent="0.2">
      <c r="A51" s="247" t="s">
        <v>1589</v>
      </c>
      <c r="B51" s="132" t="s">
        <v>1591</v>
      </c>
      <c r="C51" s="12">
        <v>6500</v>
      </c>
      <c r="D51" s="12">
        <v>6500</v>
      </c>
      <c r="E51" s="12">
        <v>6000</v>
      </c>
      <c r="F51" s="12">
        <v>0</v>
      </c>
      <c r="G51" s="12">
        <v>0</v>
      </c>
      <c r="H51" s="12">
        <v>0</v>
      </c>
      <c r="I51" s="12">
        <v>0</v>
      </c>
    </row>
    <row r="52" spans="1:9" x14ac:dyDescent="0.2">
      <c r="A52" s="247"/>
      <c r="B52" s="6" t="s">
        <v>1118</v>
      </c>
      <c r="C52" s="38">
        <f t="shared" ref="C52:G52" si="9">SUM(C51)</f>
        <v>6500</v>
      </c>
      <c r="D52" s="38">
        <f t="shared" si="9"/>
        <v>6500</v>
      </c>
      <c r="E52" s="38">
        <f t="shared" si="9"/>
        <v>6000</v>
      </c>
      <c r="F52" s="38">
        <f t="shared" si="9"/>
        <v>0</v>
      </c>
      <c r="G52" s="38">
        <f t="shared" si="9"/>
        <v>0</v>
      </c>
      <c r="H52" s="38">
        <f t="shared" ref="H52:I52" si="10">SUM(H51)</f>
        <v>0</v>
      </c>
      <c r="I52" s="38">
        <f t="shared" si="10"/>
        <v>0</v>
      </c>
    </row>
    <row r="53" spans="1:9" x14ac:dyDescent="0.2">
      <c r="A53" s="245"/>
      <c r="B53" s="6"/>
      <c r="C53" s="10"/>
      <c r="D53" s="10"/>
      <c r="E53" s="10"/>
      <c r="F53" s="10"/>
      <c r="G53" s="10"/>
      <c r="H53" s="10"/>
      <c r="I53" s="10"/>
    </row>
    <row r="54" spans="1:9" hidden="1" x14ac:dyDescent="0.2">
      <c r="A54" s="246" t="s">
        <v>1049</v>
      </c>
      <c r="B54" s="20" t="s">
        <v>1175</v>
      </c>
      <c r="C54" s="10"/>
      <c r="D54" s="10"/>
      <c r="E54" s="10"/>
      <c r="F54" s="10"/>
      <c r="G54" s="10"/>
      <c r="H54" s="10"/>
      <c r="I54" s="10"/>
    </row>
    <row r="55" spans="1:9" hidden="1" x14ac:dyDescent="0.2">
      <c r="A55" s="247" t="s">
        <v>1050</v>
      </c>
      <c r="B55" s="126" t="s">
        <v>2178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</row>
    <row r="56" spans="1:9" hidden="1" x14ac:dyDescent="0.2">
      <c r="A56" s="247" t="s">
        <v>1051</v>
      </c>
      <c r="B56" s="125" t="s">
        <v>2027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</row>
    <row r="57" spans="1:9" hidden="1" x14ac:dyDescent="0.2">
      <c r="A57" s="245" t="s">
        <v>1052</v>
      </c>
      <c r="B57" s="126" t="s">
        <v>2181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</row>
    <row r="58" spans="1:9" hidden="1" x14ac:dyDescent="0.2">
      <c r="A58" s="245"/>
      <c r="B58" s="6" t="s">
        <v>1118</v>
      </c>
      <c r="C58" s="38">
        <f t="shared" ref="C58:G58" si="11">SUM(C55:C57)</f>
        <v>0</v>
      </c>
      <c r="D58" s="38">
        <f t="shared" si="11"/>
        <v>0</v>
      </c>
      <c r="E58" s="38">
        <f t="shared" si="11"/>
        <v>0</v>
      </c>
      <c r="F58" s="38">
        <f t="shared" si="11"/>
        <v>0</v>
      </c>
      <c r="G58" s="38">
        <f t="shared" si="11"/>
        <v>0</v>
      </c>
      <c r="H58" s="38">
        <f t="shared" ref="H58:I58" si="12">SUM(H55:H57)</f>
        <v>0</v>
      </c>
      <c r="I58" s="38">
        <f t="shared" si="12"/>
        <v>0</v>
      </c>
    </row>
    <row r="59" spans="1:9" hidden="1" x14ac:dyDescent="0.2">
      <c r="A59" s="245"/>
      <c r="B59" s="6"/>
      <c r="C59" s="10"/>
      <c r="D59" s="10"/>
      <c r="E59" s="10"/>
      <c r="F59" s="10"/>
      <c r="G59" s="10"/>
      <c r="H59" s="10"/>
      <c r="I59" s="10"/>
    </row>
    <row r="60" spans="1:9" x14ac:dyDescent="0.2">
      <c r="A60" s="246" t="s">
        <v>1719</v>
      </c>
      <c r="B60" s="20" t="s">
        <v>1720</v>
      </c>
      <c r="C60" s="10"/>
      <c r="D60" s="10"/>
      <c r="E60" s="10"/>
      <c r="F60" s="10"/>
      <c r="G60" s="10"/>
      <c r="H60" s="10"/>
      <c r="I60" s="10"/>
    </row>
    <row r="61" spans="1:9" x14ac:dyDescent="0.2">
      <c r="A61" s="245" t="s">
        <v>1741</v>
      </c>
      <c r="B61" s="126" t="s">
        <v>2182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</row>
    <row r="62" spans="1:9" x14ac:dyDescent="0.2">
      <c r="A62" s="248" t="s">
        <v>1803</v>
      </c>
      <c r="B62" s="126" t="s">
        <v>2183</v>
      </c>
      <c r="C62" s="10">
        <v>7474.29</v>
      </c>
      <c r="D62" s="10">
        <v>4960</v>
      </c>
      <c r="E62" s="10">
        <v>4960</v>
      </c>
      <c r="F62" s="10">
        <v>5108.8</v>
      </c>
      <c r="G62" s="10">
        <v>5364.24</v>
      </c>
      <c r="H62" s="10">
        <v>5364.24</v>
      </c>
      <c r="I62" s="10">
        <v>5364.24</v>
      </c>
    </row>
    <row r="63" spans="1:9" x14ac:dyDescent="0.2">
      <c r="A63" s="245"/>
      <c r="B63" s="6" t="s">
        <v>1118</v>
      </c>
      <c r="C63" s="38">
        <f t="shared" ref="C63:E63" si="13">SUM(C61:C62)</f>
        <v>7474.29</v>
      </c>
      <c r="D63" s="38">
        <f t="shared" si="13"/>
        <v>4960</v>
      </c>
      <c r="E63" s="38">
        <f t="shared" si="13"/>
        <v>4960</v>
      </c>
      <c r="F63" s="38">
        <f t="shared" ref="F63:G63" si="14">SUM(F61:F62)</f>
        <v>5108.8</v>
      </c>
      <c r="G63" s="38">
        <f t="shared" si="14"/>
        <v>5364.24</v>
      </c>
      <c r="H63" s="38">
        <f t="shared" ref="H63:I63" si="15">SUM(H61:H62)</f>
        <v>5364.24</v>
      </c>
      <c r="I63" s="38">
        <f t="shared" si="15"/>
        <v>5364.24</v>
      </c>
    </row>
    <row r="64" spans="1:9" x14ac:dyDescent="0.2">
      <c r="A64" s="245"/>
      <c r="B64" s="4" t="s">
        <v>653</v>
      </c>
      <c r="C64" s="10"/>
      <c r="D64" s="10"/>
      <c r="E64" s="10"/>
      <c r="F64" s="10"/>
      <c r="G64" s="10"/>
      <c r="H64" s="10"/>
      <c r="I64" s="10"/>
    </row>
    <row r="65" spans="1:9" x14ac:dyDescent="0.2">
      <c r="A65" s="245"/>
      <c r="B65" s="4" t="s">
        <v>1125</v>
      </c>
      <c r="C65" s="10"/>
      <c r="D65" s="10"/>
      <c r="E65" s="10"/>
      <c r="F65" s="10"/>
      <c r="G65" s="10"/>
      <c r="H65" s="10"/>
      <c r="I65" s="10"/>
    </row>
    <row r="66" spans="1:9" x14ac:dyDescent="0.2">
      <c r="A66" s="245"/>
      <c r="B66" s="4" t="s">
        <v>861</v>
      </c>
      <c r="C66" s="129" t="str">
        <f t="shared" ref="C66:G66" si="16">+C4</f>
        <v>2018 ACTUAL</v>
      </c>
      <c r="D66" s="129" t="str">
        <f t="shared" si="16"/>
        <v>2019 ACTUAL</v>
      </c>
      <c r="E66" s="129" t="str">
        <f t="shared" si="16"/>
        <v>2020 ACTUAL</v>
      </c>
      <c r="F66" s="129" t="str">
        <f t="shared" si="16"/>
        <v>2021 ACTUAL</v>
      </c>
      <c r="G66" s="129" t="str">
        <f t="shared" si="16"/>
        <v>2022 ACTUAL</v>
      </c>
      <c r="H66" s="129" t="str">
        <f t="shared" ref="H66:I66" si="17">+H4</f>
        <v xml:space="preserve">2023 BUDGET </v>
      </c>
      <c r="I66" s="129" t="str">
        <f t="shared" si="17"/>
        <v xml:space="preserve">2024 BUDGET </v>
      </c>
    </row>
    <row r="67" spans="1:9" x14ac:dyDescent="0.2">
      <c r="A67" s="245"/>
      <c r="B67" s="6"/>
      <c r="C67" s="10"/>
      <c r="D67" s="10"/>
      <c r="E67" s="10"/>
      <c r="F67" s="10"/>
      <c r="G67" s="10"/>
      <c r="H67" s="10"/>
      <c r="I67" s="10"/>
    </row>
    <row r="68" spans="1:9" hidden="1" x14ac:dyDescent="0.2">
      <c r="A68" s="246" t="s">
        <v>1134</v>
      </c>
      <c r="B68" s="4" t="s">
        <v>132</v>
      </c>
      <c r="C68" s="10"/>
      <c r="D68" s="10"/>
      <c r="E68" s="10"/>
      <c r="F68" s="10"/>
      <c r="G68" s="10"/>
      <c r="H68" s="10"/>
      <c r="I68" s="10"/>
    </row>
    <row r="69" spans="1:9" hidden="1" x14ac:dyDescent="0.2">
      <c r="A69" s="245" t="s">
        <v>1135</v>
      </c>
      <c r="B69" s="125" t="s">
        <v>2184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</row>
    <row r="70" spans="1:9" hidden="1" x14ac:dyDescent="0.2">
      <c r="A70" s="245"/>
      <c r="B70" s="6" t="s">
        <v>1118</v>
      </c>
      <c r="C70" s="38">
        <f t="shared" ref="C70:G70" si="18">SUM(C69:C69)</f>
        <v>0</v>
      </c>
      <c r="D70" s="38">
        <f t="shared" si="18"/>
        <v>0</v>
      </c>
      <c r="E70" s="38">
        <f t="shared" si="18"/>
        <v>0</v>
      </c>
      <c r="F70" s="38">
        <f t="shared" si="18"/>
        <v>0</v>
      </c>
      <c r="G70" s="38">
        <f t="shared" si="18"/>
        <v>0</v>
      </c>
      <c r="H70" s="38">
        <f t="shared" ref="H70:I70" si="19">SUM(H69:H69)</f>
        <v>0</v>
      </c>
      <c r="I70" s="38">
        <f t="shared" si="19"/>
        <v>0</v>
      </c>
    </row>
    <row r="71" spans="1:9" hidden="1" x14ac:dyDescent="0.2">
      <c r="A71" s="245"/>
      <c r="B71" s="6"/>
      <c r="C71" s="10"/>
      <c r="D71" s="10"/>
      <c r="E71" s="10"/>
      <c r="F71" s="10"/>
      <c r="G71" s="10"/>
      <c r="H71" s="10"/>
      <c r="I71" s="10"/>
    </row>
    <row r="72" spans="1:9" hidden="1" x14ac:dyDescent="0.2">
      <c r="A72" s="246" t="s">
        <v>321</v>
      </c>
      <c r="B72" s="4" t="s">
        <v>971</v>
      </c>
      <c r="C72" s="10"/>
      <c r="D72" s="10"/>
      <c r="E72" s="10"/>
      <c r="F72" s="10"/>
      <c r="G72" s="10"/>
      <c r="H72" s="10"/>
      <c r="I72" s="10"/>
    </row>
    <row r="73" spans="1:9" hidden="1" x14ac:dyDescent="0.2">
      <c r="A73" s="245" t="s">
        <v>322</v>
      </c>
      <c r="B73" s="125" t="s">
        <v>2159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</row>
    <row r="74" spans="1:9" hidden="1" x14ac:dyDescent="0.2">
      <c r="A74" s="245"/>
      <c r="B74" s="6" t="s">
        <v>1118</v>
      </c>
      <c r="C74" s="38">
        <f t="shared" ref="C74:G74" si="20">SUM(C73:C73)</f>
        <v>0</v>
      </c>
      <c r="D74" s="38">
        <f t="shared" si="20"/>
        <v>0</v>
      </c>
      <c r="E74" s="38">
        <f t="shared" si="20"/>
        <v>0</v>
      </c>
      <c r="F74" s="38">
        <f t="shared" si="20"/>
        <v>0</v>
      </c>
      <c r="G74" s="38">
        <f t="shared" si="20"/>
        <v>0</v>
      </c>
      <c r="H74" s="38">
        <f t="shared" ref="H74:I74" si="21">SUM(H73:H73)</f>
        <v>0</v>
      </c>
      <c r="I74" s="38">
        <f t="shared" si="21"/>
        <v>0</v>
      </c>
    </row>
    <row r="75" spans="1:9" hidden="1" x14ac:dyDescent="0.2">
      <c r="A75" s="245"/>
      <c r="B75" s="6"/>
      <c r="C75" s="10"/>
      <c r="D75" s="10"/>
      <c r="E75" s="10"/>
      <c r="F75" s="10"/>
      <c r="G75" s="10"/>
      <c r="H75" s="10"/>
      <c r="I75" s="10"/>
    </row>
    <row r="76" spans="1:9" hidden="1" x14ac:dyDescent="0.2">
      <c r="A76" s="246" t="s">
        <v>323</v>
      </c>
      <c r="B76" s="20" t="s">
        <v>857</v>
      </c>
      <c r="C76" s="10"/>
      <c r="D76" s="10"/>
      <c r="E76" s="10"/>
      <c r="F76" s="10"/>
      <c r="G76" s="10"/>
      <c r="H76" s="10"/>
      <c r="I76" s="10"/>
    </row>
    <row r="77" spans="1:9" hidden="1" x14ac:dyDescent="0.2">
      <c r="A77" s="245" t="s">
        <v>324</v>
      </c>
      <c r="B77" s="126" t="s">
        <v>2159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</row>
    <row r="78" spans="1:9" hidden="1" x14ac:dyDescent="0.2">
      <c r="A78" s="245"/>
      <c r="B78" s="6" t="s">
        <v>1118</v>
      </c>
      <c r="C78" s="38">
        <f t="shared" ref="C78:G78" si="22">SUM(C77)</f>
        <v>0</v>
      </c>
      <c r="D78" s="38">
        <f t="shared" si="22"/>
        <v>0</v>
      </c>
      <c r="E78" s="38">
        <f t="shared" si="22"/>
        <v>0</v>
      </c>
      <c r="F78" s="38">
        <f t="shared" si="22"/>
        <v>0</v>
      </c>
      <c r="G78" s="38">
        <f t="shared" si="22"/>
        <v>0</v>
      </c>
      <c r="H78" s="38">
        <f t="shared" ref="H78:I78" si="23">SUM(H77)</f>
        <v>0</v>
      </c>
      <c r="I78" s="38">
        <f t="shared" si="23"/>
        <v>0</v>
      </c>
    </row>
    <row r="79" spans="1:9" hidden="1" x14ac:dyDescent="0.2">
      <c r="A79" s="245"/>
      <c r="B79" s="5"/>
      <c r="C79" s="10"/>
      <c r="D79" s="10"/>
      <c r="E79" s="10"/>
      <c r="F79" s="10"/>
      <c r="G79" s="10"/>
      <c r="H79" s="10"/>
      <c r="I79" s="10"/>
    </row>
    <row r="80" spans="1:9" x14ac:dyDescent="0.2">
      <c r="A80" s="246" t="s">
        <v>325</v>
      </c>
      <c r="B80" s="4" t="s">
        <v>133</v>
      </c>
      <c r="C80" s="10"/>
      <c r="D80" s="10"/>
      <c r="E80" s="10"/>
      <c r="F80" s="10"/>
      <c r="G80" s="10"/>
      <c r="H80" s="10"/>
      <c r="I80" s="10"/>
    </row>
    <row r="81" spans="1:9" x14ac:dyDescent="0.2">
      <c r="A81" s="245" t="s">
        <v>326</v>
      </c>
      <c r="B81" s="125" t="s">
        <v>2185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</row>
    <row r="82" spans="1:9" x14ac:dyDescent="0.2">
      <c r="A82" s="245" t="s">
        <v>1176</v>
      </c>
      <c r="B82" s="125" t="s">
        <v>1891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</row>
    <row r="83" spans="1:9" x14ac:dyDescent="0.2">
      <c r="A83" s="245" t="s">
        <v>1177</v>
      </c>
      <c r="B83" s="125" t="s">
        <v>1892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</row>
    <row r="84" spans="1:9" x14ac:dyDescent="0.2">
      <c r="A84" s="245" t="s">
        <v>1178</v>
      </c>
      <c r="B84" s="125" t="s">
        <v>1893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</row>
    <row r="85" spans="1:9" x14ac:dyDescent="0.2">
      <c r="A85" s="245" t="s">
        <v>1179</v>
      </c>
      <c r="B85" s="125" t="s">
        <v>1895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</row>
    <row r="86" spans="1:9" x14ac:dyDescent="0.2">
      <c r="A86" s="245" t="s">
        <v>1180</v>
      </c>
      <c r="B86" s="125" t="s">
        <v>1898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</row>
    <row r="87" spans="1:9" x14ac:dyDescent="0.2">
      <c r="A87" s="245"/>
      <c r="B87" s="6" t="s">
        <v>1118</v>
      </c>
      <c r="C87" s="38">
        <f t="shared" ref="C87:G87" si="24">SUM(C81:C86)</f>
        <v>0</v>
      </c>
      <c r="D87" s="38">
        <f t="shared" si="24"/>
        <v>0</v>
      </c>
      <c r="E87" s="38">
        <f t="shared" si="24"/>
        <v>0</v>
      </c>
      <c r="F87" s="38">
        <f t="shared" si="24"/>
        <v>0</v>
      </c>
      <c r="G87" s="38">
        <f t="shared" si="24"/>
        <v>0</v>
      </c>
      <c r="H87" s="38">
        <f t="shared" ref="H87:I87" si="25">SUM(H81:H86)</f>
        <v>0</v>
      </c>
      <c r="I87" s="38">
        <f t="shared" si="25"/>
        <v>0</v>
      </c>
    </row>
    <row r="88" spans="1:9" x14ac:dyDescent="0.2">
      <c r="A88" s="245"/>
      <c r="B88" s="6"/>
      <c r="C88" s="10"/>
      <c r="D88" s="10"/>
      <c r="E88" s="10"/>
      <c r="F88" s="10"/>
      <c r="G88" s="10"/>
      <c r="H88" s="10"/>
      <c r="I88" s="10"/>
    </row>
    <row r="89" spans="1:9" x14ac:dyDescent="0.2">
      <c r="A89" s="246" t="s">
        <v>1181</v>
      </c>
      <c r="B89" s="4" t="s">
        <v>134</v>
      </c>
      <c r="C89" s="10"/>
      <c r="D89" s="10"/>
      <c r="E89" s="10"/>
      <c r="F89" s="10"/>
      <c r="G89" s="10"/>
      <c r="H89" s="10"/>
      <c r="I89" s="10"/>
    </row>
    <row r="90" spans="1:9" x14ac:dyDescent="0.2">
      <c r="A90" s="245" t="s">
        <v>1182</v>
      </c>
      <c r="B90" s="126" t="s">
        <v>2158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</row>
    <row r="91" spans="1:9" x14ac:dyDescent="0.2">
      <c r="A91" s="245"/>
      <c r="B91" s="6" t="s">
        <v>1118</v>
      </c>
      <c r="C91" s="38">
        <f t="shared" ref="C91:G91" si="26">SUM(C90)</f>
        <v>0</v>
      </c>
      <c r="D91" s="38">
        <f t="shared" si="26"/>
        <v>0</v>
      </c>
      <c r="E91" s="38">
        <f t="shared" si="26"/>
        <v>0</v>
      </c>
      <c r="F91" s="38">
        <f t="shared" si="26"/>
        <v>0</v>
      </c>
      <c r="G91" s="38">
        <f t="shared" si="26"/>
        <v>0</v>
      </c>
      <c r="H91" s="38">
        <f t="shared" ref="H91:I91" si="27">SUM(H90)</f>
        <v>0</v>
      </c>
      <c r="I91" s="38">
        <f t="shared" si="27"/>
        <v>0</v>
      </c>
    </row>
    <row r="92" spans="1:9" x14ac:dyDescent="0.2">
      <c r="A92" s="245"/>
      <c r="B92" s="5"/>
      <c r="C92" s="10"/>
      <c r="D92" s="10"/>
      <c r="E92" s="10"/>
      <c r="F92" s="10"/>
      <c r="G92" s="10"/>
      <c r="H92" s="10"/>
      <c r="I92" s="10"/>
    </row>
    <row r="93" spans="1:9" x14ac:dyDescent="0.2">
      <c r="A93" s="246" t="s">
        <v>187</v>
      </c>
      <c r="B93" s="4" t="s">
        <v>135</v>
      </c>
      <c r="C93" s="10"/>
      <c r="D93" s="10"/>
      <c r="E93" s="10"/>
      <c r="F93" s="10"/>
      <c r="G93" s="10"/>
      <c r="H93" s="10"/>
      <c r="I93" s="10"/>
    </row>
    <row r="94" spans="1:9" x14ac:dyDescent="0.2">
      <c r="A94" s="245" t="s">
        <v>188</v>
      </c>
      <c r="B94" s="126" t="s">
        <v>2164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</row>
    <row r="95" spans="1:9" x14ac:dyDescent="0.2">
      <c r="A95" s="245" t="s">
        <v>189</v>
      </c>
      <c r="B95" s="125" t="s">
        <v>1889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</row>
    <row r="96" spans="1:9" x14ac:dyDescent="0.2">
      <c r="A96" s="245" t="s">
        <v>190</v>
      </c>
      <c r="B96" s="126" t="s">
        <v>1891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</row>
    <row r="97" spans="1:9" x14ac:dyDescent="0.2">
      <c r="A97" s="245" t="s">
        <v>191</v>
      </c>
      <c r="B97" s="126" t="s">
        <v>1892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</row>
    <row r="98" spans="1:9" x14ac:dyDescent="0.2">
      <c r="A98" s="245" t="s">
        <v>192</v>
      </c>
      <c r="B98" s="126" t="s">
        <v>1893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</row>
    <row r="99" spans="1:9" x14ac:dyDescent="0.2">
      <c r="A99" s="245" t="s">
        <v>193</v>
      </c>
      <c r="B99" s="126" t="s">
        <v>1895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</row>
    <row r="100" spans="1:9" x14ac:dyDescent="0.2">
      <c r="A100" s="245" t="s">
        <v>194</v>
      </c>
      <c r="B100" s="126" t="s">
        <v>2025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</row>
    <row r="101" spans="1:9" x14ac:dyDescent="0.2">
      <c r="A101" s="245" t="s">
        <v>195</v>
      </c>
      <c r="B101" s="126" t="s">
        <v>1900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</row>
    <row r="102" spans="1:9" x14ac:dyDescent="0.2">
      <c r="A102" s="245"/>
      <c r="B102" s="6" t="s">
        <v>1118</v>
      </c>
      <c r="C102" s="38">
        <f t="shared" ref="C102:G102" si="28">SUM(C94:C101)</f>
        <v>0</v>
      </c>
      <c r="D102" s="38">
        <f t="shared" si="28"/>
        <v>0</v>
      </c>
      <c r="E102" s="38">
        <f t="shared" si="28"/>
        <v>0</v>
      </c>
      <c r="F102" s="38">
        <f t="shared" si="28"/>
        <v>0</v>
      </c>
      <c r="G102" s="38">
        <f t="shared" si="28"/>
        <v>0</v>
      </c>
      <c r="H102" s="38">
        <f t="shared" ref="H102:I102" si="29">SUM(H94:H101)</f>
        <v>0</v>
      </c>
      <c r="I102" s="38">
        <f t="shared" si="29"/>
        <v>0</v>
      </c>
    </row>
    <row r="103" spans="1:9" x14ac:dyDescent="0.2">
      <c r="A103" s="245"/>
      <c r="B103" s="6"/>
      <c r="C103" s="10"/>
      <c r="D103" s="10"/>
      <c r="E103" s="10"/>
      <c r="F103" s="10"/>
      <c r="G103" s="10"/>
      <c r="H103" s="10"/>
      <c r="I103" s="10"/>
    </row>
    <row r="104" spans="1:9" x14ac:dyDescent="0.2">
      <c r="A104" s="246" t="s">
        <v>1555</v>
      </c>
      <c r="B104" s="20" t="s">
        <v>73</v>
      </c>
      <c r="C104" s="10"/>
      <c r="D104" s="10"/>
      <c r="E104" s="10"/>
      <c r="F104" s="10"/>
      <c r="G104" s="10"/>
      <c r="H104" s="10"/>
      <c r="I104" s="10"/>
    </row>
    <row r="105" spans="1:9" x14ac:dyDescent="0.2">
      <c r="A105" s="245" t="s">
        <v>1556</v>
      </c>
      <c r="B105" s="126" t="s">
        <v>2186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</row>
    <row r="106" spans="1:9" x14ac:dyDescent="0.2">
      <c r="A106" s="245"/>
      <c r="B106" s="6" t="s">
        <v>1118</v>
      </c>
      <c r="C106" s="38">
        <f t="shared" ref="C106:G106" si="30">SUM(C105:C105)</f>
        <v>0</v>
      </c>
      <c r="D106" s="38">
        <f t="shared" si="30"/>
        <v>0</v>
      </c>
      <c r="E106" s="38">
        <f t="shared" si="30"/>
        <v>0</v>
      </c>
      <c r="F106" s="38">
        <f t="shared" si="30"/>
        <v>0</v>
      </c>
      <c r="G106" s="38">
        <f t="shared" si="30"/>
        <v>0</v>
      </c>
      <c r="H106" s="38">
        <f t="shared" ref="H106:I106" si="31">SUM(H105:H105)</f>
        <v>0</v>
      </c>
      <c r="I106" s="38">
        <f t="shared" si="31"/>
        <v>0</v>
      </c>
    </row>
    <row r="107" spans="1:9" x14ac:dyDescent="0.2">
      <c r="B107" s="21"/>
      <c r="C107" s="10"/>
      <c r="D107" s="10"/>
      <c r="E107" s="10"/>
      <c r="F107" s="10"/>
      <c r="G107" s="10"/>
      <c r="H107" s="10"/>
      <c r="I107" s="10"/>
    </row>
    <row r="108" spans="1:9" ht="13.5" thickBot="1" x14ac:dyDescent="0.25">
      <c r="B108" s="6" t="s">
        <v>1341</v>
      </c>
      <c r="C108" s="36">
        <f t="shared" ref="C108:D108" si="32">+C25+C48+C52+C58+C70+C74+C78+C87+C91+C102+C106+C63</f>
        <v>538967.29</v>
      </c>
      <c r="D108" s="36">
        <f t="shared" si="32"/>
        <v>535374.97</v>
      </c>
      <c r="E108" s="36">
        <f>+E25+E48+E52+E58+E70+E74+E78+E87+E91+E102+E106+E63</f>
        <v>664864.65999999992</v>
      </c>
      <c r="F108" s="36">
        <f t="shared" ref="F108:G108" si="33">+F25+F48+F52+F58+F70+F74+F78+F87+F91+F102+F106+F63</f>
        <v>533097.75</v>
      </c>
      <c r="G108" s="36">
        <f t="shared" si="33"/>
        <v>538532.2899999998</v>
      </c>
      <c r="H108" s="36">
        <f t="shared" ref="H108:I108" si="34">+H25+H48+H52+H58+H70+H74+H78+H87+H91+H102+H106+H63</f>
        <v>538631.24</v>
      </c>
      <c r="I108" s="36">
        <f t="shared" si="34"/>
        <v>702198.24</v>
      </c>
    </row>
    <row r="109" spans="1:9" ht="13.5" thickTop="1" x14ac:dyDescent="0.2">
      <c r="B109" s="6"/>
      <c r="C109" s="10"/>
      <c r="D109" s="10"/>
      <c r="E109" s="10"/>
      <c r="F109" s="10"/>
      <c r="G109" s="10"/>
      <c r="H109" s="10"/>
      <c r="I109" s="10"/>
    </row>
    <row r="110" spans="1:9" x14ac:dyDescent="0.2">
      <c r="B110" s="4" t="s">
        <v>653</v>
      </c>
      <c r="C110" s="10"/>
      <c r="D110" s="10"/>
      <c r="E110" s="10"/>
      <c r="F110" s="10"/>
      <c r="G110" s="10"/>
      <c r="H110" s="10"/>
      <c r="I110" s="10"/>
    </row>
    <row r="111" spans="1:9" x14ac:dyDescent="0.2">
      <c r="B111" s="4" t="s">
        <v>1125</v>
      </c>
      <c r="C111" s="10"/>
      <c r="D111" s="10"/>
      <c r="E111" s="10"/>
      <c r="F111" s="10"/>
      <c r="G111" s="10"/>
      <c r="H111" s="10"/>
      <c r="I111" s="10"/>
    </row>
    <row r="112" spans="1:9" x14ac:dyDescent="0.2">
      <c r="B112" s="4" t="s">
        <v>1343</v>
      </c>
      <c r="C112" s="10"/>
      <c r="D112" s="10"/>
      <c r="E112" s="10"/>
      <c r="F112" s="10"/>
      <c r="G112" s="10"/>
      <c r="H112" s="10"/>
      <c r="I112" s="10"/>
    </row>
    <row r="113" spans="1:9" x14ac:dyDescent="0.2">
      <c r="C113" s="129" t="str">
        <f t="shared" ref="C113:G113" si="35">+C4</f>
        <v>2018 ACTUAL</v>
      </c>
      <c r="D113" s="129" t="str">
        <f t="shared" si="35"/>
        <v>2019 ACTUAL</v>
      </c>
      <c r="E113" s="129" t="str">
        <f t="shared" si="35"/>
        <v>2020 ACTUAL</v>
      </c>
      <c r="F113" s="129" t="str">
        <f t="shared" si="35"/>
        <v>2021 ACTUAL</v>
      </c>
      <c r="G113" s="129" t="str">
        <f t="shared" si="35"/>
        <v>2022 ACTUAL</v>
      </c>
      <c r="H113" s="129" t="str">
        <f t="shared" ref="H113:I113" si="36">+H4</f>
        <v xml:space="preserve">2023 BUDGET </v>
      </c>
      <c r="I113" s="129" t="str">
        <f t="shared" si="36"/>
        <v xml:space="preserve">2024 BUDGET </v>
      </c>
    </row>
    <row r="114" spans="1:9" x14ac:dyDescent="0.2">
      <c r="C114" s="112"/>
      <c r="D114" s="112"/>
      <c r="E114" s="112"/>
      <c r="F114" s="112"/>
      <c r="G114" s="112"/>
      <c r="H114" s="112"/>
      <c r="I114" s="112"/>
    </row>
    <row r="115" spans="1:9" x14ac:dyDescent="0.2">
      <c r="B115" t="s">
        <v>1344</v>
      </c>
      <c r="C115" s="10">
        <v>9390.44</v>
      </c>
      <c r="D115" s="10">
        <f t="shared" ref="D115:I115" si="37">C123</f>
        <v>13476.469999999856</v>
      </c>
      <c r="E115" s="10">
        <f t="shared" si="37"/>
        <v>9501.0799999999581</v>
      </c>
      <c r="F115" s="10">
        <f t="shared" si="37"/>
        <v>8495.1700000000419</v>
      </c>
      <c r="G115" s="10">
        <f t="shared" si="37"/>
        <v>8738.270000000135</v>
      </c>
      <c r="H115" s="10">
        <f t="shared" si="37"/>
        <v>9211.1400000003632</v>
      </c>
      <c r="I115" s="10">
        <f t="shared" si="37"/>
        <v>9211.1400000003632</v>
      </c>
    </row>
    <row r="116" spans="1:9" x14ac:dyDescent="0.2">
      <c r="C116" s="10"/>
      <c r="D116" s="10"/>
      <c r="E116" s="10"/>
      <c r="F116" s="10"/>
      <c r="G116" s="10"/>
      <c r="H116" s="10"/>
      <c r="I116" s="10"/>
    </row>
    <row r="117" spans="1:9" x14ac:dyDescent="0.2">
      <c r="B117" t="s">
        <v>1345</v>
      </c>
      <c r="C117" s="10">
        <f t="shared" ref="C117:G117" si="38">C20</f>
        <v>543053.31999999995</v>
      </c>
      <c r="D117" s="10">
        <f t="shared" si="38"/>
        <v>531399.58000000007</v>
      </c>
      <c r="E117" s="10">
        <f t="shared" si="38"/>
        <v>663858.75</v>
      </c>
      <c r="F117" s="10">
        <f t="shared" si="38"/>
        <v>533340.85000000009</v>
      </c>
      <c r="G117" s="10">
        <f t="shared" si="38"/>
        <v>539005.16</v>
      </c>
      <c r="H117" s="10">
        <f t="shared" ref="H117:I117" si="39">H20</f>
        <v>538631.24</v>
      </c>
      <c r="I117" s="10">
        <f t="shared" si="39"/>
        <v>724148.01</v>
      </c>
    </row>
    <row r="118" spans="1:9" x14ac:dyDescent="0.2">
      <c r="A118" s="245"/>
      <c r="C118" s="10"/>
      <c r="D118" s="10"/>
      <c r="E118" s="10"/>
      <c r="F118" s="10"/>
      <c r="G118" s="10"/>
      <c r="H118" s="10"/>
      <c r="I118" s="10"/>
    </row>
    <row r="119" spans="1:9" x14ac:dyDescent="0.2">
      <c r="A119" s="245"/>
      <c r="B119" t="s">
        <v>1346</v>
      </c>
      <c r="C119" s="10">
        <f t="shared" ref="C119:G119" si="40">C108</f>
        <v>538967.29</v>
      </c>
      <c r="D119" s="10">
        <f t="shared" si="40"/>
        <v>535374.97</v>
      </c>
      <c r="E119" s="10">
        <f t="shared" si="40"/>
        <v>664864.65999999992</v>
      </c>
      <c r="F119" s="10">
        <f t="shared" si="40"/>
        <v>533097.75</v>
      </c>
      <c r="G119" s="10">
        <f t="shared" si="40"/>
        <v>538532.2899999998</v>
      </c>
      <c r="H119" s="10">
        <f t="shared" ref="H119:I119" si="41">H108</f>
        <v>538631.24</v>
      </c>
      <c r="I119" s="10">
        <f t="shared" si="41"/>
        <v>702198.24</v>
      </c>
    </row>
    <row r="120" spans="1:9" x14ac:dyDescent="0.2">
      <c r="A120" s="245"/>
      <c r="C120" s="10"/>
      <c r="D120" s="10"/>
      <c r="E120" s="10"/>
      <c r="F120" s="10"/>
      <c r="G120" s="10"/>
      <c r="H120" s="10"/>
      <c r="I120" s="10"/>
    </row>
    <row r="121" spans="1:9" x14ac:dyDescent="0.2">
      <c r="A121" s="245"/>
      <c r="B121" t="s">
        <v>1347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</row>
    <row r="122" spans="1:9" x14ac:dyDescent="0.2">
      <c r="A122" s="245"/>
      <c r="C122" s="10" t="s">
        <v>1433</v>
      </c>
      <c r="D122" s="10" t="s">
        <v>1433</v>
      </c>
      <c r="E122" s="10" t="s">
        <v>1433</v>
      </c>
      <c r="F122" s="10" t="s">
        <v>1433</v>
      </c>
      <c r="G122" s="10" t="s">
        <v>1433</v>
      </c>
      <c r="H122" s="10" t="s">
        <v>1433</v>
      </c>
      <c r="I122" s="10" t="s">
        <v>1433</v>
      </c>
    </row>
    <row r="123" spans="1:9" ht="13.5" thickBot="1" x14ac:dyDescent="0.25">
      <c r="A123" s="245"/>
      <c r="B123" t="s">
        <v>1348</v>
      </c>
      <c r="C123" s="36">
        <f t="shared" ref="C123:G123" si="42">C115+C117-C119+C121</f>
        <v>13476.469999999856</v>
      </c>
      <c r="D123" s="36">
        <f t="shared" si="42"/>
        <v>9501.0799999999581</v>
      </c>
      <c r="E123" s="36">
        <f t="shared" si="42"/>
        <v>8495.1700000000419</v>
      </c>
      <c r="F123" s="36">
        <f t="shared" si="42"/>
        <v>8738.270000000135</v>
      </c>
      <c r="G123" s="36">
        <f t="shared" si="42"/>
        <v>9211.1400000003632</v>
      </c>
      <c r="H123" s="36">
        <f t="shared" ref="H123:I123" si="43">H115+H117-H119+H121</f>
        <v>9211.1400000003632</v>
      </c>
      <c r="I123" s="36">
        <f t="shared" si="43"/>
        <v>31160.910000000382</v>
      </c>
    </row>
    <row r="124" spans="1:9" ht="13.5" thickTop="1" x14ac:dyDescent="0.2">
      <c r="A124" s="245"/>
    </row>
    <row r="125" spans="1:9" x14ac:dyDescent="0.2">
      <c r="C125" s="10"/>
      <c r="D125" s="10"/>
      <c r="E125" s="115"/>
      <c r="G125" s="10"/>
    </row>
    <row r="126" spans="1:9" x14ac:dyDescent="0.2">
      <c r="E126" s="115"/>
    </row>
  </sheetData>
  <phoneticPr fontId="2" type="noConversion"/>
  <pageMargins left="0.5" right="0.5" top="1" bottom="1" header="0.5" footer="0.5"/>
  <pageSetup scale="78" firstPageNumber="39" fitToHeight="0" orientation="portrait" useFirstPageNumber="1" r:id="rId1"/>
  <headerFooter alignWithMargins="0">
    <oddFooter>&amp;C&amp;P</oddFooter>
  </headerFooter>
  <rowBreaks count="1" manualBreakCount="1">
    <brk id="6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L984"/>
  <sheetViews>
    <sheetView zoomScale="115" zoomScaleNormal="115" workbookViewId="0">
      <selection activeCell="E19" sqref="E19"/>
    </sheetView>
  </sheetViews>
  <sheetFormatPr defaultRowHeight="12.75" x14ac:dyDescent="0.2"/>
  <cols>
    <col min="1" max="1" width="14.42578125" style="238" customWidth="1"/>
    <col min="2" max="2" width="35.7109375" customWidth="1"/>
    <col min="3" max="3" width="14.28515625" hidden="1" customWidth="1"/>
    <col min="4" max="4" width="14.28515625" style="10" hidden="1" customWidth="1"/>
    <col min="5" max="5" width="14" customWidth="1"/>
    <col min="6" max="6" width="13.5703125" style="10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s="245" t="s">
        <v>1433</v>
      </c>
      <c r="B1" s="4" t="s">
        <v>653</v>
      </c>
      <c r="C1" s="1" t="s">
        <v>1433</v>
      </c>
      <c r="D1" s="112" t="s">
        <v>1433</v>
      </c>
      <c r="E1" s="1" t="s">
        <v>1433</v>
      </c>
      <c r="F1" s="112" t="s">
        <v>1433</v>
      </c>
      <c r="G1" s="1" t="s">
        <v>1433</v>
      </c>
    </row>
    <row r="2" spans="1:9" x14ac:dyDescent="0.2">
      <c r="A2" s="245"/>
      <c r="B2" s="4" t="s">
        <v>293</v>
      </c>
      <c r="C2" s="1" t="s">
        <v>1433</v>
      </c>
      <c r="D2" s="112" t="s">
        <v>1433</v>
      </c>
      <c r="E2" s="1" t="s">
        <v>1433</v>
      </c>
      <c r="F2" s="112" t="s">
        <v>1433</v>
      </c>
      <c r="G2" s="1" t="s">
        <v>1433</v>
      </c>
    </row>
    <row r="3" spans="1:9" x14ac:dyDescent="0.2">
      <c r="A3" s="245"/>
      <c r="B3" s="4" t="s">
        <v>313</v>
      </c>
      <c r="C3" s="1" t="s">
        <v>1433</v>
      </c>
      <c r="D3" s="112" t="s">
        <v>1433</v>
      </c>
      <c r="E3" s="1" t="s">
        <v>1433</v>
      </c>
      <c r="F3" s="112" t="s">
        <v>1433</v>
      </c>
      <c r="G3" s="1" t="s">
        <v>1433</v>
      </c>
    </row>
    <row r="4" spans="1:9" x14ac:dyDescent="0.2">
      <c r="A4" s="245"/>
      <c r="C4" s="7" t="s">
        <v>1793</v>
      </c>
      <c r="D4" s="129" t="s">
        <v>1824</v>
      </c>
      <c r="E4" s="7" t="s">
        <v>2321</v>
      </c>
      <c r="F4" s="129" t="s">
        <v>2432</v>
      </c>
      <c r="G4" s="7" t="s">
        <v>2546</v>
      </c>
      <c r="H4" s="7" t="s">
        <v>2435</v>
      </c>
      <c r="I4" s="7" t="s">
        <v>2545</v>
      </c>
    </row>
    <row r="5" spans="1:9" x14ac:dyDescent="0.2">
      <c r="A5" s="246" t="s">
        <v>294</v>
      </c>
      <c r="B5" s="4" t="s">
        <v>314</v>
      </c>
      <c r="H5" s="10"/>
      <c r="I5" s="10"/>
    </row>
    <row r="6" spans="1:9" x14ac:dyDescent="0.2">
      <c r="A6" s="245" t="s">
        <v>1388</v>
      </c>
      <c r="B6" s="125" t="s">
        <v>1827</v>
      </c>
      <c r="C6" s="18">
        <v>16584391.880000001</v>
      </c>
      <c r="D6" s="18">
        <f>17009041.99+47000</f>
        <v>17056041.989999998</v>
      </c>
      <c r="E6" s="123">
        <v>17942749</v>
      </c>
      <c r="F6" s="18">
        <v>18624435.77</v>
      </c>
      <c r="G6" s="18">
        <v>19882778.809999999</v>
      </c>
      <c r="H6" s="18">
        <v>20040388</v>
      </c>
      <c r="I6" s="18">
        <f>SUM(intro!H377)</f>
        <v>23010863.899243839</v>
      </c>
    </row>
    <row r="7" spans="1:9" x14ac:dyDescent="0.2">
      <c r="A7" s="245" t="s">
        <v>1389</v>
      </c>
      <c r="B7" s="125" t="s">
        <v>1828</v>
      </c>
      <c r="C7" s="12">
        <v>740593.76</v>
      </c>
      <c r="D7" s="12">
        <v>533702</v>
      </c>
      <c r="E7" s="140">
        <v>733228.79</v>
      </c>
      <c r="F7" s="37">
        <v>567438.68000000005</v>
      </c>
      <c r="G7" s="37">
        <v>608562.07999999996</v>
      </c>
      <c r="H7" s="37">
        <v>545615</v>
      </c>
      <c r="I7" s="37">
        <f>+intro!K387</f>
        <v>579386.5</v>
      </c>
    </row>
    <row r="8" spans="1:9" x14ac:dyDescent="0.2">
      <c r="A8" s="245"/>
      <c r="B8" s="6" t="s">
        <v>1118</v>
      </c>
      <c r="C8" s="37">
        <f t="shared" ref="C8:G8" si="0">SUM(C6:C7)</f>
        <v>17324985.640000001</v>
      </c>
      <c r="D8" s="12">
        <f t="shared" si="0"/>
        <v>17589743.989999998</v>
      </c>
      <c r="E8" s="140">
        <f t="shared" si="0"/>
        <v>18675977.789999999</v>
      </c>
      <c r="F8" s="37">
        <f t="shared" si="0"/>
        <v>19191874.449999999</v>
      </c>
      <c r="G8" s="37">
        <f t="shared" si="0"/>
        <v>20491340.889999997</v>
      </c>
      <c r="H8" s="37">
        <f t="shared" ref="H8" si="1">SUM(H6:H7)</f>
        <v>20586003</v>
      </c>
      <c r="I8" s="37">
        <f>SUM(I6:I7)</f>
        <v>23590250.399243839</v>
      </c>
    </row>
    <row r="9" spans="1:9" x14ac:dyDescent="0.2">
      <c r="A9" s="245"/>
      <c r="B9" s="6"/>
      <c r="C9" s="10"/>
      <c r="E9" s="143"/>
      <c r="G9" s="10"/>
      <c r="H9" s="10"/>
      <c r="I9" s="10"/>
    </row>
    <row r="10" spans="1:9" x14ac:dyDescent="0.2">
      <c r="A10" s="246" t="s">
        <v>295</v>
      </c>
      <c r="B10" s="4" t="s">
        <v>669</v>
      </c>
      <c r="C10" s="10"/>
      <c r="E10" s="108"/>
      <c r="G10" s="10"/>
      <c r="H10" s="10"/>
      <c r="I10" s="10"/>
    </row>
    <row r="11" spans="1:9" x14ac:dyDescent="0.2">
      <c r="A11" s="245" t="s">
        <v>1393</v>
      </c>
      <c r="B11" s="125" t="s">
        <v>1829</v>
      </c>
      <c r="C11" s="10">
        <v>64520</v>
      </c>
      <c r="D11" s="10">
        <v>76550</v>
      </c>
      <c r="E11" s="143">
        <v>95890</v>
      </c>
      <c r="F11" s="171">
        <v>99030</v>
      </c>
      <c r="G11" s="171">
        <v>97720</v>
      </c>
      <c r="H11" s="166">
        <v>96000</v>
      </c>
      <c r="I11" s="166">
        <v>96000</v>
      </c>
    </row>
    <row r="12" spans="1:9" x14ac:dyDescent="0.2">
      <c r="A12" s="245" t="s">
        <v>1390</v>
      </c>
      <c r="B12" s="125" t="s">
        <v>1830</v>
      </c>
      <c r="C12" s="10">
        <v>29392.080000000002</v>
      </c>
      <c r="D12" s="10">
        <v>46213.18</v>
      </c>
      <c r="E12" s="108">
        <v>21791.93</v>
      </c>
      <c r="F12" s="10">
        <v>33133.870000000003</v>
      </c>
      <c r="G12" s="10">
        <v>40185.54</v>
      </c>
      <c r="H12" s="166">
        <v>30000</v>
      </c>
      <c r="I12" s="166">
        <v>30000</v>
      </c>
    </row>
    <row r="13" spans="1:9" x14ac:dyDescent="0.2">
      <c r="A13" s="245" t="s">
        <v>1391</v>
      </c>
      <c r="B13" s="125" t="s">
        <v>1831</v>
      </c>
      <c r="C13" s="10">
        <v>2205</v>
      </c>
      <c r="D13" s="10">
        <v>3058</v>
      </c>
      <c r="E13" s="108">
        <v>3640</v>
      </c>
      <c r="F13" s="10">
        <v>2160</v>
      </c>
      <c r="G13" s="10">
        <v>1755</v>
      </c>
      <c r="H13" s="166">
        <v>3000</v>
      </c>
      <c r="I13" s="166">
        <f t="shared" ref="H13:I14" si="2">+H13</f>
        <v>3000</v>
      </c>
    </row>
    <row r="14" spans="1:9" x14ac:dyDescent="0.2">
      <c r="A14" s="245" t="s">
        <v>1392</v>
      </c>
      <c r="B14" s="125" t="s">
        <v>1832</v>
      </c>
      <c r="C14" s="10">
        <v>1000</v>
      </c>
      <c r="D14" s="10">
        <v>1000</v>
      </c>
      <c r="E14" s="108">
        <v>0</v>
      </c>
      <c r="F14" s="10">
        <v>0</v>
      </c>
      <c r="G14" s="10">
        <v>0</v>
      </c>
      <c r="H14" s="166">
        <f t="shared" si="2"/>
        <v>0</v>
      </c>
      <c r="I14" s="166">
        <f t="shared" si="2"/>
        <v>0</v>
      </c>
    </row>
    <row r="15" spans="1:9" x14ac:dyDescent="0.2">
      <c r="A15" s="245"/>
      <c r="B15" s="6" t="s">
        <v>1118</v>
      </c>
      <c r="C15" s="38">
        <f t="shared" ref="C15:G15" si="3">SUM(C11:C14)</f>
        <v>97117.08</v>
      </c>
      <c r="D15" s="38">
        <f t="shared" si="3"/>
        <v>126821.18</v>
      </c>
      <c r="E15" s="141">
        <f t="shared" si="3"/>
        <v>121321.93</v>
      </c>
      <c r="F15" s="167">
        <f t="shared" si="3"/>
        <v>134323.87</v>
      </c>
      <c r="G15" s="167">
        <f t="shared" si="3"/>
        <v>139660.54</v>
      </c>
      <c r="H15" s="167">
        <f t="shared" ref="H15:I15" si="4">SUM(H11:H14)</f>
        <v>129000</v>
      </c>
      <c r="I15" s="167">
        <f t="shared" si="4"/>
        <v>129000</v>
      </c>
    </row>
    <row r="16" spans="1:9" x14ac:dyDescent="0.2">
      <c r="C16" s="10"/>
      <c r="E16" s="108"/>
      <c r="G16" s="10"/>
      <c r="H16" s="10"/>
      <c r="I16" s="10"/>
    </row>
    <row r="17" spans="1:9" x14ac:dyDescent="0.2">
      <c r="A17" s="246" t="s">
        <v>296</v>
      </c>
      <c r="B17" s="4" t="s">
        <v>769</v>
      </c>
      <c r="C17" s="10"/>
      <c r="E17" s="108"/>
      <c r="G17" s="10"/>
      <c r="H17" s="10"/>
      <c r="I17" s="10"/>
    </row>
    <row r="18" spans="1:9" x14ac:dyDescent="0.2">
      <c r="A18" s="247" t="s">
        <v>1684</v>
      </c>
      <c r="B18" s="126" t="s">
        <v>1833</v>
      </c>
      <c r="C18" s="10">
        <v>4367.28</v>
      </c>
      <c r="D18" s="10">
        <v>12082.96</v>
      </c>
      <c r="E18" s="108">
        <v>0</v>
      </c>
      <c r="F18" s="10">
        <v>0</v>
      </c>
      <c r="G18" s="10">
        <v>0</v>
      </c>
      <c r="H18" s="166">
        <f t="shared" ref="H18:I29" si="5">+G18</f>
        <v>0</v>
      </c>
      <c r="I18" s="166">
        <f t="shared" si="5"/>
        <v>0</v>
      </c>
    </row>
    <row r="19" spans="1:9" x14ac:dyDescent="0.2">
      <c r="A19" s="245" t="s">
        <v>750</v>
      </c>
      <c r="B19" s="125" t="s">
        <v>1834</v>
      </c>
      <c r="C19" s="10">
        <v>2963.15</v>
      </c>
      <c r="D19" s="10">
        <v>2595.3000000000002</v>
      </c>
      <c r="E19" s="108">
        <v>8280.3700000000008</v>
      </c>
      <c r="F19" s="10">
        <v>5834.14</v>
      </c>
      <c r="G19" s="10">
        <v>7809.31</v>
      </c>
      <c r="H19" s="166">
        <v>5000</v>
      </c>
      <c r="I19" s="166">
        <v>9000</v>
      </c>
    </row>
    <row r="20" spans="1:9" x14ac:dyDescent="0.2">
      <c r="A20" s="245" t="s">
        <v>749</v>
      </c>
      <c r="B20" s="125" t="s">
        <v>1835</v>
      </c>
      <c r="C20" s="10">
        <v>30269.75</v>
      </c>
      <c r="D20" s="10">
        <v>20200</v>
      </c>
      <c r="E20" s="108">
        <v>25200</v>
      </c>
      <c r="F20" s="10">
        <v>20200</v>
      </c>
      <c r="G20" s="10">
        <v>25200</v>
      </c>
      <c r="H20" s="166">
        <f t="shared" si="5"/>
        <v>25200</v>
      </c>
      <c r="I20" s="166">
        <f t="shared" si="5"/>
        <v>25200</v>
      </c>
    </row>
    <row r="21" spans="1:9" x14ac:dyDescent="0.2">
      <c r="A21" s="245" t="s">
        <v>751</v>
      </c>
      <c r="B21" s="126" t="s">
        <v>1836</v>
      </c>
      <c r="C21" s="17">
        <v>775</v>
      </c>
      <c r="D21" s="17">
        <v>1353</v>
      </c>
      <c r="E21" s="142">
        <v>0</v>
      </c>
      <c r="F21" s="17">
        <v>0</v>
      </c>
      <c r="G21" s="17">
        <v>0</v>
      </c>
      <c r="H21" s="166">
        <v>1000</v>
      </c>
      <c r="I21" s="166">
        <f t="shared" si="5"/>
        <v>1000</v>
      </c>
    </row>
    <row r="22" spans="1:9" x14ac:dyDescent="0.2">
      <c r="A22" s="245" t="s">
        <v>831</v>
      </c>
      <c r="B22" s="125" t="s">
        <v>1837</v>
      </c>
      <c r="C22" s="10">
        <v>6450.88</v>
      </c>
      <c r="D22" s="10">
        <v>7779.53</v>
      </c>
      <c r="E22" s="108">
        <v>10783.74</v>
      </c>
      <c r="F22" s="10">
        <v>1690</v>
      </c>
      <c r="G22" s="10">
        <v>12726.85</v>
      </c>
      <c r="H22" s="166">
        <v>19000</v>
      </c>
      <c r="I22" s="166">
        <v>14000</v>
      </c>
    </row>
    <row r="23" spans="1:9" x14ac:dyDescent="0.2">
      <c r="A23" s="248" t="s">
        <v>2628</v>
      </c>
      <c r="B23" s="126" t="s">
        <v>2627</v>
      </c>
      <c r="C23" s="10">
        <v>0</v>
      </c>
      <c r="D23" s="10">
        <v>0</v>
      </c>
      <c r="E23" s="108">
        <v>0</v>
      </c>
      <c r="F23" s="10">
        <v>0</v>
      </c>
      <c r="G23" s="10">
        <v>0</v>
      </c>
      <c r="H23" s="166">
        <v>0</v>
      </c>
      <c r="I23" s="166">
        <f>500000+275000</f>
        <v>775000</v>
      </c>
    </row>
    <row r="24" spans="1:9" x14ac:dyDescent="0.2">
      <c r="A24" s="245" t="s">
        <v>752</v>
      </c>
      <c r="B24" s="125" t="s">
        <v>1838</v>
      </c>
      <c r="C24" s="17">
        <v>0</v>
      </c>
      <c r="D24" s="17">
        <v>0</v>
      </c>
      <c r="E24" s="142">
        <v>0</v>
      </c>
      <c r="F24" s="17">
        <v>0</v>
      </c>
      <c r="G24" s="17">
        <v>0</v>
      </c>
      <c r="H24" s="166">
        <f t="shared" si="5"/>
        <v>0</v>
      </c>
      <c r="I24" s="166">
        <f t="shared" si="5"/>
        <v>0</v>
      </c>
    </row>
    <row r="25" spans="1:9" x14ac:dyDescent="0.2">
      <c r="A25" s="245" t="s">
        <v>753</v>
      </c>
      <c r="B25" s="125" t="s">
        <v>1839</v>
      </c>
      <c r="C25" s="17">
        <v>432390</v>
      </c>
      <c r="D25" s="17">
        <v>467940.88</v>
      </c>
      <c r="E25" s="142">
        <v>324323.7</v>
      </c>
      <c r="F25" s="17">
        <v>416370</v>
      </c>
      <c r="G25" s="17">
        <v>428840</v>
      </c>
      <c r="H25" s="166">
        <v>350000</v>
      </c>
      <c r="I25" s="166">
        <v>425000</v>
      </c>
    </row>
    <row r="26" spans="1:9" x14ac:dyDescent="0.2">
      <c r="A26" s="245" t="s">
        <v>754</v>
      </c>
      <c r="B26" s="125" t="s">
        <v>1840</v>
      </c>
      <c r="C26" s="10">
        <v>63015.5</v>
      </c>
      <c r="D26" s="10">
        <v>57705</v>
      </c>
      <c r="E26" s="108">
        <v>63494</v>
      </c>
      <c r="F26" s="10">
        <v>52207</v>
      </c>
      <c r="G26" s="10">
        <v>35721.75</v>
      </c>
      <c r="H26" s="166">
        <v>25000</v>
      </c>
      <c r="I26" s="166">
        <v>35000</v>
      </c>
    </row>
    <row r="27" spans="1:9" x14ac:dyDescent="0.2">
      <c r="A27" s="245" t="s">
        <v>755</v>
      </c>
      <c r="B27" s="125" t="s">
        <v>1841</v>
      </c>
      <c r="C27" s="10">
        <v>7692.43</v>
      </c>
      <c r="D27" s="10">
        <v>8815.2199999999993</v>
      </c>
      <c r="E27" s="108">
        <v>8132.71</v>
      </c>
      <c r="F27" s="10">
        <v>7642.88</v>
      </c>
      <c r="G27" s="10">
        <v>7653.39</v>
      </c>
      <c r="H27" s="166">
        <v>8000</v>
      </c>
      <c r="I27" s="166">
        <f t="shared" si="5"/>
        <v>8000</v>
      </c>
    </row>
    <row r="28" spans="1:9" x14ac:dyDescent="0.2">
      <c r="A28" s="245" t="s">
        <v>480</v>
      </c>
      <c r="B28" s="125" t="s">
        <v>1842</v>
      </c>
      <c r="C28" s="10">
        <v>2941.09</v>
      </c>
      <c r="D28" s="10">
        <v>5421.16</v>
      </c>
      <c r="E28" s="108">
        <v>20865.29</v>
      </c>
      <c r="F28" s="10">
        <v>6283.89</v>
      </c>
      <c r="G28" s="10">
        <v>14688.92</v>
      </c>
      <c r="H28" s="166">
        <v>8000</v>
      </c>
      <c r="I28" s="166">
        <v>8000</v>
      </c>
    </row>
    <row r="29" spans="1:9" x14ac:dyDescent="0.2">
      <c r="A29" s="245" t="s">
        <v>2377</v>
      </c>
      <c r="B29" s="125" t="s">
        <v>2340</v>
      </c>
      <c r="C29" s="10">
        <v>0</v>
      </c>
      <c r="D29" s="10">
        <v>0</v>
      </c>
      <c r="E29" s="108">
        <v>208064.52</v>
      </c>
      <c r="F29" s="10">
        <v>1443904</v>
      </c>
      <c r="G29" s="10">
        <v>0</v>
      </c>
      <c r="H29" s="166">
        <f t="shared" si="5"/>
        <v>0</v>
      </c>
      <c r="I29" s="166">
        <f t="shared" si="5"/>
        <v>0</v>
      </c>
    </row>
    <row r="30" spans="1:9" x14ac:dyDescent="0.2">
      <c r="A30" s="245" t="s">
        <v>1433</v>
      </c>
      <c r="B30" s="6" t="s">
        <v>1118</v>
      </c>
      <c r="C30" s="38">
        <f t="shared" ref="C30:G30" si="6">SUM(C18:C29)</f>
        <v>550865.08000000007</v>
      </c>
      <c r="D30" s="38">
        <f t="shared" si="6"/>
        <v>583893.04999999993</v>
      </c>
      <c r="E30" s="141">
        <f t="shared" si="6"/>
        <v>669144.32999999996</v>
      </c>
      <c r="F30" s="167">
        <f t="shared" si="6"/>
        <v>1954131.9100000001</v>
      </c>
      <c r="G30" s="167">
        <f t="shared" si="6"/>
        <v>532640.22</v>
      </c>
      <c r="H30" s="167">
        <f t="shared" ref="H30:I30" si="7">SUM(H18:H29)</f>
        <v>441200</v>
      </c>
      <c r="I30" s="167">
        <f t="shared" si="7"/>
        <v>1300200</v>
      </c>
    </row>
    <row r="31" spans="1:9" x14ac:dyDescent="0.2">
      <c r="C31" s="10"/>
      <c r="E31" s="108"/>
      <c r="G31" s="10"/>
      <c r="H31" s="10"/>
      <c r="I31" s="10"/>
    </row>
    <row r="32" spans="1:9" x14ac:dyDescent="0.2">
      <c r="A32" s="246" t="s">
        <v>297</v>
      </c>
      <c r="B32" s="4" t="s">
        <v>315</v>
      </c>
      <c r="C32" s="10"/>
      <c r="E32" s="108"/>
      <c r="G32" s="10"/>
      <c r="H32" s="10"/>
      <c r="I32" s="10"/>
    </row>
    <row r="33" spans="1:9" x14ac:dyDescent="0.2">
      <c r="A33" s="245" t="s">
        <v>1394</v>
      </c>
      <c r="B33" s="126" t="s">
        <v>1843</v>
      </c>
      <c r="C33" s="10">
        <v>0</v>
      </c>
      <c r="D33" s="10">
        <v>0</v>
      </c>
      <c r="E33" s="108">
        <v>0</v>
      </c>
      <c r="F33" s="159">
        <v>0</v>
      </c>
      <c r="G33" s="159">
        <v>0</v>
      </c>
      <c r="H33" s="166">
        <f t="shared" ref="H33:I61" si="8">+G33</f>
        <v>0</v>
      </c>
      <c r="I33" s="166">
        <f t="shared" si="8"/>
        <v>0</v>
      </c>
    </row>
    <row r="34" spans="1:9" x14ac:dyDescent="0.2">
      <c r="A34" s="245" t="s">
        <v>1395</v>
      </c>
      <c r="B34" s="125" t="s">
        <v>655</v>
      </c>
      <c r="C34" s="10">
        <v>6798.22</v>
      </c>
      <c r="D34" s="10">
        <v>3126.11</v>
      </c>
      <c r="E34" s="108">
        <v>3689.57</v>
      </c>
      <c r="F34" s="10">
        <v>5406.35</v>
      </c>
      <c r="G34" s="10">
        <v>1438</v>
      </c>
      <c r="H34" s="166">
        <v>4000</v>
      </c>
      <c r="I34" s="166">
        <v>2000</v>
      </c>
    </row>
    <row r="35" spans="1:9" x14ac:dyDescent="0.2">
      <c r="A35" s="245" t="s">
        <v>1396</v>
      </c>
      <c r="B35" s="125" t="s">
        <v>99</v>
      </c>
      <c r="C35" s="10">
        <v>-7852.35</v>
      </c>
      <c r="D35" s="10">
        <v>214552.33</v>
      </c>
      <c r="E35" s="108">
        <v>69423.210000000006</v>
      </c>
      <c r="F35" s="10">
        <v>67088.55</v>
      </c>
      <c r="G35" s="10">
        <v>92732.800000000003</v>
      </c>
      <c r="H35" s="166">
        <v>60000</v>
      </c>
      <c r="I35" s="166">
        <v>80000</v>
      </c>
    </row>
    <row r="36" spans="1:9" x14ac:dyDescent="0.2">
      <c r="A36" s="245" t="s">
        <v>1397</v>
      </c>
      <c r="B36" s="125" t="s">
        <v>660</v>
      </c>
      <c r="C36" s="17">
        <v>428311.79</v>
      </c>
      <c r="D36" s="17">
        <v>480487.32</v>
      </c>
      <c r="E36" s="142">
        <v>470302.86</v>
      </c>
      <c r="F36" s="17">
        <v>526578.68999999994</v>
      </c>
      <c r="G36" s="17">
        <v>540437.18000000005</v>
      </c>
      <c r="H36" s="166">
        <v>450000</v>
      </c>
      <c r="I36" s="166">
        <v>525000</v>
      </c>
    </row>
    <row r="37" spans="1:9" x14ac:dyDescent="0.2">
      <c r="A37" s="245" t="s">
        <v>1398</v>
      </c>
      <c r="B37" s="125" t="s">
        <v>100</v>
      </c>
      <c r="C37" s="10">
        <v>676377.74</v>
      </c>
      <c r="D37" s="10">
        <v>729348.38</v>
      </c>
      <c r="E37" s="108">
        <v>763446.22</v>
      </c>
      <c r="F37" s="10">
        <v>757219.35</v>
      </c>
      <c r="G37" s="10">
        <v>811858.6</v>
      </c>
      <c r="H37" s="166">
        <v>725000</v>
      </c>
      <c r="I37" s="166">
        <v>775000</v>
      </c>
    </row>
    <row r="38" spans="1:9" x14ac:dyDescent="0.2">
      <c r="A38" s="245" t="s">
        <v>1399</v>
      </c>
      <c r="B38" s="125" t="s">
        <v>664</v>
      </c>
      <c r="C38" s="10">
        <v>9489.91</v>
      </c>
      <c r="D38" s="10">
        <v>8953.66</v>
      </c>
      <c r="E38" s="108">
        <v>5553.91</v>
      </c>
      <c r="F38" s="10">
        <v>5716.17</v>
      </c>
      <c r="G38" s="10">
        <v>5075.54</v>
      </c>
      <c r="H38" s="166">
        <v>5000</v>
      </c>
      <c r="I38" s="166">
        <v>5000</v>
      </c>
    </row>
    <row r="39" spans="1:9" x14ac:dyDescent="0.2">
      <c r="A39" s="245" t="s">
        <v>1400</v>
      </c>
      <c r="B39" s="125" t="s">
        <v>663</v>
      </c>
      <c r="C39" s="10">
        <v>218430.35</v>
      </c>
      <c r="D39" s="10">
        <v>216604.67</v>
      </c>
      <c r="E39" s="108">
        <v>225983.27</v>
      </c>
      <c r="F39" s="10">
        <v>214292.27</v>
      </c>
      <c r="G39" s="10">
        <v>157005.66</v>
      </c>
      <c r="H39" s="166">
        <v>210000</v>
      </c>
      <c r="I39" s="166">
        <v>175000</v>
      </c>
    </row>
    <row r="40" spans="1:9" x14ac:dyDescent="0.2">
      <c r="A40" s="245" t="s">
        <v>1401</v>
      </c>
      <c r="B40" s="125" t="s">
        <v>1358</v>
      </c>
      <c r="C40" s="10">
        <v>212415.64</v>
      </c>
      <c r="D40" s="10">
        <v>202628.15</v>
      </c>
      <c r="E40" s="108">
        <v>167313.16</v>
      </c>
      <c r="F40" s="10">
        <v>157464.17000000001</v>
      </c>
      <c r="G40" s="10">
        <v>151690.23999999999</v>
      </c>
      <c r="H40" s="166">
        <v>155000</v>
      </c>
      <c r="I40" s="166">
        <v>145000</v>
      </c>
    </row>
    <row r="41" spans="1:9" x14ac:dyDescent="0.2">
      <c r="A41" s="245" t="s">
        <v>1402</v>
      </c>
      <c r="B41" s="125" t="s">
        <v>1844</v>
      </c>
      <c r="C41" s="10">
        <v>4080.42</v>
      </c>
      <c r="D41" s="10">
        <v>3466.68</v>
      </c>
      <c r="E41" s="108">
        <v>3539.76</v>
      </c>
      <c r="F41" s="10">
        <v>4110.42</v>
      </c>
      <c r="G41" s="10">
        <v>600</v>
      </c>
      <c r="H41" s="166">
        <v>4000</v>
      </c>
      <c r="I41" s="166">
        <v>0</v>
      </c>
    </row>
    <row r="42" spans="1:9" x14ac:dyDescent="0.2">
      <c r="A42" s="247" t="s">
        <v>1583</v>
      </c>
      <c r="B42" s="125" t="s">
        <v>1569</v>
      </c>
      <c r="C42" s="10">
        <v>50</v>
      </c>
      <c r="D42" s="10">
        <v>20</v>
      </c>
      <c r="E42" s="108">
        <v>0</v>
      </c>
      <c r="F42" s="10">
        <v>25</v>
      </c>
      <c r="G42" s="10">
        <v>109.33</v>
      </c>
      <c r="H42" s="166">
        <v>50</v>
      </c>
      <c r="I42" s="166">
        <f t="shared" si="8"/>
        <v>50</v>
      </c>
    </row>
    <row r="43" spans="1:9" x14ac:dyDescent="0.2">
      <c r="A43" s="245" t="s">
        <v>1403</v>
      </c>
      <c r="B43" s="125" t="s">
        <v>1845</v>
      </c>
      <c r="C43" s="10">
        <v>14517.36</v>
      </c>
      <c r="D43" s="10">
        <v>11955.36</v>
      </c>
      <c r="E43" s="108">
        <v>14887.86</v>
      </c>
      <c r="F43" s="10">
        <v>12531.51</v>
      </c>
      <c r="G43" s="10">
        <v>12849.46</v>
      </c>
      <c r="H43" s="166">
        <v>13000</v>
      </c>
      <c r="I43" s="166">
        <v>13000</v>
      </c>
    </row>
    <row r="44" spans="1:9" x14ac:dyDescent="0.2">
      <c r="A44" s="245" t="s">
        <v>1404</v>
      </c>
      <c r="B44" s="125" t="s">
        <v>1846</v>
      </c>
      <c r="C44" s="10">
        <v>23865</v>
      </c>
      <c r="D44" s="10">
        <v>21605</v>
      </c>
      <c r="E44" s="108">
        <v>19190</v>
      </c>
      <c r="F44" s="10">
        <v>16535</v>
      </c>
      <c r="G44" s="10">
        <v>26100</v>
      </c>
      <c r="H44" s="166">
        <v>16000</v>
      </c>
      <c r="I44" s="166">
        <v>24000</v>
      </c>
    </row>
    <row r="45" spans="1:9" x14ac:dyDescent="0.2">
      <c r="A45" s="245" t="s">
        <v>1405</v>
      </c>
      <c r="B45" s="125" t="s">
        <v>1847</v>
      </c>
      <c r="C45" s="10">
        <v>30047.21</v>
      </c>
      <c r="D45" s="10">
        <v>31339.11</v>
      </c>
      <c r="E45" s="108">
        <v>26322.36</v>
      </c>
      <c r="F45" s="10">
        <v>16981.68</v>
      </c>
      <c r="G45" s="10">
        <v>24010.799999999999</v>
      </c>
      <c r="H45" s="166">
        <v>16000</v>
      </c>
      <c r="I45" s="166">
        <v>20000</v>
      </c>
    </row>
    <row r="46" spans="1:9" x14ac:dyDescent="0.2">
      <c r="A46" s="245" t="s">
        <v>1406</v>
      </c>
      <c r="B46" s="125" t="s">
        <v>1848</v>
      </c>
      <c r="C46" s="10">
        <v>23026.99</v>
      </c>
      <c r="D46" s="10">
        <v>21904.400000000001</v>
      </c>
      <c r="E46" s="108">
        <v>20163.599999999999</v>
      </c>
      <c r="F46" s="10">
        <v>13893.09</v>
      </c>
      <c r="G46" s="10">
        <v>17050.400000000001</v>
      </c>
      <c r="H46" s="166">
        <v>13000</v>
      </c>
      <c r="I46" s="166">
        <v>13000</v>
      </c>
    </row>
    <row r="47" spans="1:9" x14ac:dyDescent="0.2">
      <c r="A47" s="245" t="s">
        <v>816</v>
      </c>
      <c r="B47" s="125" t="s">
        <v>1849</v>
      </c>
      <c r="C47" s="10">
        <v>0</v>
      </c>
      <c r="D47" s="10">
        <v>0</v>
      </c>
      <c r="E47" s="108">
        <v>0</v>
      </c>
      <c r="F47" s="10">
        <v>0</v>
      </c>
      <c r="G47" s="10">
        <v>0</v>
      </c>
      <c r="H47" s="166">
        <v>1000</v>
      </c>
      <c r="I47" s="166">
        <v>0</v>
      </c>
    </row>
    <row r="48" spans="1:9" x14ac:dyDescent="0.2">
      <c r="A48" s="245" t="s">
        <v>412</v>
      </c>
      <c r="B48" s="125" t="s">
        <v>124</v>
      </c>
      <c r="C48" s="10">
        <v>2453</v>
      </c>
      <c r="D48" s="10">
        <v>3287</v>
      </c>
      <c r="E48" s="108">
        <v>3296</v>
      </c>
      <c r="F48" s="10">
        <v>3296</v>
      </c>
      <c r="G48" s="10">
        <v>0</v>
      </c>
      <c r="H48" s="166">
        <v>3000</v>
      </c>
      <c r="I48" s="166">
        <v>3000</v>
      </c>
    </row>
    <row r="49" spans="1:9" x14ac:dyDescent="0.2">
      <c r="A49" s="245" t="s">
        <v>1407</v>
      </c>
      <c r="B49" s="125" t="s">
        <v>1850</v>
      </c>
      <c r="C49" s="10">
        <v>4716</v>
      </c>
      <c r="D49" s="10">
        <v>6112</v>
      </c>
      <c r="E49" s="108">
        <v>6087.68</v>
      </c>
      <c r="F49" s="10">
        <v>5994</v>
      </c>
      <c r="G49" s="10">
        <v>1327</v>
      </c>
      <c r="H49" s="166">
        <v>5000</v>
      </c>
      <c r="I49" s="166">
        <v>2000</v>
      </c>
    </row>
    <row r="50" spans="1:9" x14ac:dyDescent="0.2">
      <c r="A50" s="245" t="s">
        <v>1409</v>
      </c>
      <c r="B50" s="125" t="s">
        <v>1851</v>
      </c>
      <c r="C50" s="10">
        <v>8916.57</v>
      </c>
      <c r="D50" s="10">
        <v>9737.19</v>
      </c>
      <c r="E50" s="108">
        <v>9529.81</v>
      </c>
      <c r="F50" s="10">
        <v>7467</v>
      </c>
      <c r="G50" s="10">
        <v>2070</v>
      </c>
      <c r="H50" s="166">
        <v>7000</v>
      </c>
      <c r="I50" s="166">
        <v>2000</v>
      </c>
    </row>
    <row r="51" spans="1:9" x14ac:dyDescent="0.2">
      <c r="A51" s="245" t="s">
        <v>1410</v>
      </c>
      <c r="B51" s="125" t="s">
        <v>1852</v>
      </c>
      <c r="C51" s="10">
        <v>5827.81</v>
      </c>
      <c r="D51" s="10">
        <v>6749</v>
      </c>
      <c r="E51" s="108">
        <v>6646</v>
      </c>
      <c r="F51" s="10">
        <v>6453</v>
      </c>
      <c r="G51" s="10">
        <v>2210</v>
      </c>
      <c r="H51" s="166">
        <v>6000</v>
      </c>
      <c r="I51" s="166">
        <v>2000</v>
      </c>
    </row>
    <row r="52" spans="1:9" x14ac:dyDescent="0.2">
      <c r="A52" s="245" t="s">
        <v>1408</v>
      </c>
      <c r="B52" s="125" t="s">
        <v>1853</v>
      </c>
      <c r="C52" s="10">
        <v>10166</v>
      </c>
      <c r="D52" s="10">
        <v>8980</v>
      </c>
      <c r="E52" s="108">
        <v>7537</v>
      </c>
      <c r="F52" s="10">
        <v>7788</v>
      </c>
      <c r="G52" s="10">
        <v>2537</v>
      </c>
      <c r="H52" s="166">
        <v>7000</v>
      </c>
      <c r="I52" s="166">
        <v>2000</v>
      </c>
    </row>
    <row r="53" spans="1:9" x14ac:dyDescent="0.2">
      <c r="A53" s="245" t="s">
        <v>2308</v>
      </c>
      <c r="B53" s="125" t="s">
        <v>2309</v>
      </c>
      <c r="C53" s="10">
        <v>0</v>
      </c>
      <c r="D53" s="10">
        <v>0</v>
      </c>
      <c r="E53" s="108">
        <v>5145.95</v>
      </c>
      <c r="F53" s="10">
        <v>6488.97</v>
      </c>
      <c r="G53" s="10">
        <v>8149.35</v>
      </c>
      <c r="H53" s="166">
        <v>0</v>
      </c>
      <c r="I53" s="166">
        <f t="shared" si="8"/>
        <v>0</v>
      </c>
    </row>
    <row r="54" spans="1:9" x14ac:dyDescent="0.2">
      <c r="A54" s="247" t="s">
        <v>1715</v>
      </c>
      <c r="B54" s="125" t="s">
        <v>1854</v>
      </c>
      <c r="C54" s="10">
        <v>0</v>
      </c>
      <c r="D54" s="10">
        <v>550</v>
      </c>
      <c r="E54" s="108">
        <v>150</v>
      </c>
      <c r="F54" s="10">
        <v>0</v>
      </c>
      <c r="G54" s="10">
        <v>837.15</v>
      </c>
      <c r="H54" s="166">
        <v>0</v>
      </c>
      <c r="I54" s="166">
        <f t="shared" si="8"/>
        <v>0</v>
      </c>
    </row>
    <row r="55" spans="1:9" x14ac:dyDescent="0.2">
      <c r="A55" s="247" t="s">
        <v>1666</v>
      </c>
      <c r="B55" s="125" t="s">
        <v>1855</v>
      </c>
      <c r="C55" s="10">
        <v>17286.34</v>
      </c>
      <c r="D55" s="10">
        <v>16920.79</v>
      </c>
      <c r="E55" s="108">
        <v>60.51</v>
      </c>
      <c r="F55" s="10">
        <v>27.91</v>
      </c>
      <c r="G55" s="10">
        <v>12.68</v>
      </c>
      <c r="H55" s="166">
        <v>0</v>
      </c>
      <c r="I55" s="166">
        <f t="shared" si="8"/>
        <v>0</v>
      </c>
    </row>
    <row r="56" spans="1:9" x14ac:dyDescent="0.2">
      <c r="A56" s="245" t="s">
        <v>1411</v>
      </c>
      <c r="B56" s="125" t="s">
        <v>1856</v>
      </c>
      <c r="C56" s="10">
        <v>5.21</v>
      </c>
      <c r="D56" s="10">
        <v>1.89</v>
      </c>
      <c r="E56" s="108">
        <v>6.09</v>
      </c>
      <c r="F56" s="10">
        <v>2.99</v>
      </c>
      <c r="G56" s="10">
        <v>0</v>
      </c>
      <c r="H56" s="166">
        <v>50</v>
      </c>
      <c r="I56" s="166">
        <f t="shared" si="8"/>
        <v>50</v>
      </c>
    </row>
    <row r="57" spans="1:9" x14ac:dyDescent="0.2">
      <c r="A57" s="245" t="s">
        <v>1412</v>
      </c>
      <c r="B57" s="125" t="s">
        <v>1857</v>
      </c>
      <c r="C57" s="10">
        <v>15430.57</v>
      </c>
      <c r="D57" s="10">
        <v>16117.47</v>
      </c>
      <c r="E57" s="108">
        <v>15549.14</v>
      </c>
      <c r="F57" s="10">
        <v>16603.72</v>
      </c>
      <c r="G57" s="10">
        <v>23682.05</v>
      </c>
      <c r="H57" s="166">
        <v>15000</v>
      </c>
      <c r="I57" s="166">
        <v>27500</v>
      </c>
    </row>
    <row r="58" spans="1:9" x14ac:dyDescent="0.2">
      <c r="A58" s="245" t="s">
        <v>1413</v>
      </c>
      <c r="B58" s="125" t="s">
        <v>1858</v>
      </c>
      <c r="C58" s="10">
        <v>1804.1</v>
      </c>
      <c r="D58" s="10">
        <v>1488.24</v>
      </c>
      <c r="E58" s="108">
        <v>1349.46</v>
      </c>
      <c r="F58" s="10">
        <v>1181.1300000000001</v>
      </c>
      <c r="G58" s="10">
        <v>1344.42</v>
      </c>
      <c r="H58" s="166">
        <v>1000</v>
      </c>
      <c r="I58" s="166">
        <v>1000</v>
      </c>
    </row>
    <row r="59" spans="1:9" x14ac:dyDescent="0.2">
      <c r="A59" s="245" t="s">
        <v>738</v>
      </c>
      <c r="B59" s="125" t="s">
        <v>1859</v>
      </c>
      <c r="C59" s="10">
        <v>4354.09</v>
      </c>
      <c r="D59" s="10">
        <v>3833.18</v>
      </c>
      <c r="E59" s="108">
        <v>1544.18</v>
      </c>
      <c r="F59" s="10">
        <v>368.07</v>
      </c>
      <c r="G59" s="10">
        <v>1321.88</v>
      </c>
      <c r="H59" s="166">
        <v>500</v>
      </c>
      <c r="I59" s="166">
        <v>500</v>
      </c>
    </row>
    <row r="60" spans="1:9" x14ac:dyDescent="0.2">
      <c r="A60" s="245" t="s">
        <v>739</v>
      </c>
      <c r="B60" s="125" t="s">
        <v>1860</v>
      </c>
      <c r="C60" s="10">
        <v>1061</v>
      </c>
      <c r="D60" s="10">
        <v>1115</v>
      </c>
      <c r="E60" s="143">
        <v>1230</v>
      </c>
      <c r="F60" s="10">
        <v>1390</v>
      </c>
      <c r="G60" s="10">
        <v>375</v>
      </c>
      <c r="H60" s="166">
        <v>1000</v>
      </c>
      <c r="I60" s="166">
        <f t="shared" si="8"/>
        <v>1000</v>
      </c>
    </row>
    <row r="61" spans="1:9" x14ac:dyDescent="0.2">
      <c r="A61" s="245" t="s">
        <v>817</v>
      </c>
      <c r="B61" s="125" t="s">
        <v>1861</v>
      </c>
      <c r="C61" s="10">
        <v>106474.87</v>
      </c>
      <c r="D61" s="18">
        <v>119376.57</v>
      </c>
      <c r="E61" s="143">
        <v>115647.49</v>
      </c>
      <c r="F61" s="10">
        <v>162348.09</v>
      </c>
      <c r="G61" s="10">
        <v>144370.04</v>
      </c>
      <c r="H61" s="166">
        <v>130000</v>
      </c>
      <c r="I61" s="166">
        <f t="shared" si="8"/>
        <v>130000</v>
      </c>
    </row>
    <row r="62" spans="1:9" x14ac:dyDescent="0.2">
      <c r="A62" s="247" t="s">
        <v>1683</v>
      </c>
      <c r="B62" s="126" t="s">
        <v>1862</v>
      </c>
      <c r="C62" s="10">
        <v>0</v>
      </c>
      <c r="D62" s="10">
        <v>0</v>
      </c>
      <c r="E62" s="143">
        <v>0</v>
      </c>
      <c r="F62" s="10">
        <v>0</v>
      </c>
      <c r="G62" s="10">
        <v>0</v>
      </c>
      <c r="H62" s="166">
        <v>1000</v>
      </c>
      <c r="I62" s="166">
        <v>0</v>
      </c>
    </row>
    <row r="63" spans="1:9" x14ac:dyDescent="0.2">
      <c r="A63" s="248" t="s">
        <v>2322</v>
      </c>
      <c r="B63" s="126" t="s">
        <v>2323</v>
      </c>
      <c r="C63" s="10">
        <v>0</v>
      </c>
      <c r="D63" s="10">
        <v>0</v>
      </c>
      <c r="E63" s="143">
        <v>462.83</v>
      </c>
      <c r="F63" s="10">
        <v>3869.13</v>
      </c>
      <c r="G63" s="10">
        <v>5210.2</v>
      </c>
      <c r="H63" s="166">
        <v>0</v>
      </c>
      <c r="I63" s="166">
        <v>7000</v>
      </c>
    </row>
    <row r="64" spans="1:9" x14ac:dyDescent="0.2">
      <c r="A64" s="248" t="s">
        <v>2547</v>
      </c>
      <c r="B64" s="126" t="s">
        <v>2550</v>
      </c>
      <c r="C64" s="10">
        <v>0</v>
      </c>
      <c r="D64" s="10">
        <v>0</v>
      </c>
      <c r="E64" s="10">
        <v>0</v>
      </c>
      <c r="F64" s="10">
        <v>0</v>
      </c>
      <c r="G64" s="10">
        <v>22310.07</v>
      </c>
      <c r="H64" s="166">
        <v>0</v>
      </c>
      <c r="I64" s="166">
        <v>30000</v>
      </c>
    </row>
    <row r="65" spans="1:9" x14ac:dyDescent="0.2">
      <c r="A65" s="248" t="s">
        <v>2548</v>
      </c>
      <c r="B65" s="126" t="s">
        <v>2551</v>
      </c>
      <c r="C65" s="10">
        <v>0</v>
      </c>
      <c r="D65" s="10">
        <v>0</v>
      </c>
      <c r="E65" s="10">
        <v>0</v>
      </c>
      <c r="F65" s="10">
        <v>0</v>
      </c>
      <c r="G65" s="10">
        <v>5660.96</v>
      </c>
      <c r="H65" s="166">
        <v>0</v>
      </c>
      <c r="I65" s="166">
        <v>7000</v>
      </c>
    </row>
    <row r="66" spans="1:9" x14ac:dyDescent="0.2">
      <c r="A66" s="248" t="s">
        <v>2549</v>
      </c>
      <c r="B66" s="126" t="s">
        <v>2552</v>
      </c>
      <c r="C66" s="10">
        <v>0</v>
      </c>
      <c r="D66" s="10">
        <v>0</v>
      </c>
      <c r="E66" s="10">
        <v>0</v>
      </c>
      <c r="F66" s="10">
        <v>0</v>
      </c>
      <c r="G66" s="10">
        <v>15509.02</v>
      </c>
      <c r="H66" s="166">
        <v>0</v>
      </c>
      <c r="I66" s="166">
        <v>20000</v>
      </c>
    </row>
    <row r="67" spans="1:9" x14ac:dyDescent="0.2">
      <c r="A67" s="245" t="s">
        <v>740</v>
      </c>
      <c r="B67" s="125" t="s">
        <v>1863</v>
      </c>
      <c r="C67" s="12">
        <v>2.79</v>
      </c>
      <c r="D67" s="12">
        <v>0.73</v>
      </c>
      <c r="E67" s="140">
        <v>10</v>
      </c>
      <c r="F67" s="12">
        <v>0</v>
      </c>
      <c r="G67" s="12">
        <v>0</v>
      </c>
      <c r="H67" s="166">
        <v>50</v>
      </c>
      <c r="I67" s="166">
        <v>0</v>
      </c>
    </row>
    <row r="68" spans="1:9" x14ac:dyDescent="0.2">
      <c r="A68" s="245"/>
      <c r="B68" s="6" t="s">
        <v>1118</v>
      </c>
      <c r="C68" s="12">
        <f t="shared" ref="C68:I68" si="9">SUM(C33:C67)</f>
        <v>1818056.6300000004</v>
      </c>
      <c r="D68" s="12">
        <f t="shared" si="9"/>
        <v>2140260.2299999995</v>
      </c>
      <c r="E68" s="140">
        <f t="shared" si="9"/>
        <v>1964067.92</v>
      </c>
      <c r="F68" s="12">
        <f t="shared" si="9"/>
        <v>2021120.2599999995</v>
      </c>
      <c r="G68" s="12">
        <f t="shared" si="9"/>
        <v>2077884.8299999998</v>
      </c>
      <c r="H68" s="38">
        <f t="shared" si="9"/>
        <v>1848650</v>
      </c>
      <c r="I68" s="38">
        <f t="shared" si="9"/>
        <v>2012100</v>
      </c>
    </row>
    <row r="69" spans="1:9" x14ac:dyDescent="0.2">
      <c r="A69" s="245"/>
      <c r="B69" s="4" t="s">
        <v>653</v>
      </c>
      <c r="C69" s="112" t="s">
        <v>1433</v>
      </c>
      <c r="D69" s="112" t="s">
        <v>1433</v>
      </c>
      <c r="E69" s="138" t="s">
        <v>1433</v>
      </c>
      <c r="F69" s="112" t="s">
        <v>1433</v>
      </c>
      <c r="G69" s="222" t="s">
        <v>1433</v>
      </c>
      <c r="H69" s="112" t="s">
        <v>1433</v>
      </c>
      <c r="I69" s="112" t="s">
        <v>1433</v>
      </c>
    </row>
    <row r="70" spans="1:9" x14ac:dyDescent="0.2">
      <c r="A70" s="245"/>
      <c r="B70" s="4" t="s">
        <v>977</v>
      </c>
      <c r="C70" s="112" t="s">
        <v>1433</v>
      </c>
      <c r="D70" s="112" t="s">
        <v>1433</v>
      </c>
      <c r="E70" s="138" t="s">
        <v>1433</v>
      </c>
      <c r="F70" s="112" t="s">
        <v>1433</v>
      </c>
      <c r="G70" s="222" t="s">
        <v>1433</v>
      </c>
      <c r="H70" s="112" t="s">
        <v>1433</v>
      </c>
      <c r="I70" s="112" t="s">
        <v>1433</v>
      </c>
    </row>
    <row r="71" spans="1:9" x14ac:dyDescent="0.2">
      <c r="A71" s="245"/>
      <c r="B71" s="4" t="s">
        <v>313</v>
      </c>
      <c r="C71" s="112" t="s">
        <v>1433</v>
      </c>
      <c r="D71" s="112" t="s">
        <v>1433</v>
      </c>
      <c r="E71" s="138" t="s">
        <v>1433</v>
      </c>
      <c r="F71" s="112" t="s">
        <v>1433</v>
      </c>
      <c r="G71" s="222" t="s">
        <v>1433</v>
      </c>
      <c r="H71" s="112" t="s">
        <v>1433</v>
      </c>
      <c r="I71" s="112" t="s">
        <v>1433</v>
      </c>
    </row>
    <row r="72" spans="1:9" x14ac:dyDescent="0.2">
      <c r="A72" s="245"/>
      <c r="C72" s="129" t="str">
        <f>+$C$4</f>
        <v>2018 ACTUAL</v>
      </c>
      <c r="D72" s="129" t="str">
        <f t="shared" ref="D72:I72" si="10">+D$4</f>
        <v>2019 ACTUAL</v>
      </c>
      <c r="E72" s="149" t="str">
        <f t="shared" si="10"/>
        <v>2020 ACTUAL</v>
      </c>
      <c r="F72" s="129" t="str">
        <f t="shared" si="10"/>
        <v>2021 ACTUAL</v>
      </c>
      <c r="G72" s="223" t="str">
        <f t="shared" si="10"/>
        <v>2022 ACTUAL</v>
      </c>
      <c r="H72" s="129" t="str">
        <f t="shared" si="10"/>
        <v xml:space="preserve">2023 BUDGET </v>
      </c>
      <c r="I72" s="129" t="str">
        <f t="shared" si="10"/>
        <v xml:space="preserve">2024 BUDGET </v>
      </c>
    </row>
    <row r="73" spans="1:9" x14ac:dyDescent="0.2">
      <c r="A73" s="246" t="s">
        <v>978</v>
      </c>
      <c r="B73" s="4" t="s">
        <v>970</v>
      </c>
      <c r="C73" s="10"/>
      <c r="E73" s="108"/>
      <c r="G73" s="115"/>
      <c r="H73" s="10"/>
      <c r="I73" s="10"/>
    </row>
    <row r="74" spans="1:9" x14ac:dyDescent="0.2">
      <c r="A74" s="245"/>
      <c r="B74" s="125" t="s">
        <v>1850</v>
      </c>
      <c r="C74" s="10"/>
      <c r="E74" s="108"/>
      <c r="G74" s="115"/>
      <c r="H74" s="10"/>
      <c r="I74" s="10"/>
    </row>
    <row r="75" spans="1:9" x14ac:dyDescent="0.2">
      <c r="A75" s="245" t="s">
        <v>741</v>
      </c>
      <c r="B75" s="157" t="s">
        <v>1864</v>
      </c>
      <c r="C75" s="10">
        <v>740</v>
      </c>
      <c r="D75" s="10">
        <v>310</v>
      </c>
      <c r="E75" s="108">
        <v>608.6</v>
      </c>
      <c r="F75" s="159">
        <v>560</v>
      </c>
      <c r="G75" s="159">
        <v>700</v>
      </c>
      <c r="H75" s="166">
        <v>500</v>
      </c>
      <c r="I75" s="166">
        <f t="shared" ref="H75:I78" si="11">+H75</f>
        <v>500</v>
      </c>
    </row>
    <row r="76" spans="1:9" x14ac:dyDescent="0.2">
      <c r="A76" s="245" t="s">
        <v>742</v>
      </c>
      <c r="B76" s="157" t="s">
        <v>1865</v>
      </c>
      <c r="C76" s="10">
        <v>830.02</v>
      </c>
      <c r="D76" s="10">
        <v>508.57</v>
      </c>
      <c r="E76" s="108">
        <v>365.66</v>
      </c>
      <c r="F76" s="10">
        <v>280</v>
      </c>
      <c r="G76" s="10">
        <v>506</v>
      </c>
      <c r="H76" s="166">
        <v>300</v>
      </c>
      <c r="I76" s="166">
        <v>300</v>
      </c>
    </row>
    <row r="77" spans="1:9" x14ac:dyDescent="0.2">
      <c r="A77" s="245" t="s">
        <v>743</v>
      </c>
      <c r="B77" s="157" t="s">
        <v>1866</v>
      </c>
      <c r="C77" s="10">
        <v>2576.92</v>
      </c>
      <c r="D77" s="10">
        <v>2172.1799999999998</v>
      </c>
      <c r="E77" s="108">
        <v>1478.72</v>
      </c>
      <c r="F77" s="10">
        <v>1326.4</v>
      </c>
      <c r="G77" s="10">
        <v>1987.37</v>
      </c>
      <c r="H77" s="166">
        <v>1500</v>
      </c>
      <c r="I77" s="166">
        <f t="shared" si="11"/>
        <v>1500</v>
      </c>
    </row>
    <row r="78" spans="1:9" x14ac:dyDescent="0.2">
      <c r="A78" s="245" t="s">
        <v>744</v>
      </c>
      <c r="B78" s="158" t="s">
        <v>1867</v>
      </c>
      <c r="C78" s="10"/>
      <c r="D78" s="10">
        <v>20</v>
      </c>
      <c r="E78" s="108">
        <v>0</v>
      </c>
      <c r="F78" s="10">
        <v>0</v>
      </c>
      <c r="G78" s="10">
        <v>0</v>
      </c>
      <c r="H78" s="166">
        <f t="shared" si="11"/>
        <v>0</v>
      </c>
      <c r="I78" s="166">
        <f t="shared" si="11"/>
        <v>0</v>
      </c>
    </row>
    <row r="79" spans="1:9" x14ac:dyDescent="0.2">
      <c r="A79" s="245"/>
      <c r="B79" s="125" t="s">
        <v>1853</v>
      </c>
      <c r="C79" s="10"/>
      <c r="E79" s="108"/>
      <c r="G79" s="10"/>
      <c r="H79" s="10"/>
      <c r="I79" s="10"/>
    </row>
    <row r="80" spans="1:9" x14ac:dyDescent="0.2">
      <c r="A80" s="245" t="s">
        <v>745</v>
      </c>
      <c r="B80" s="157" t="s">
        <v>1864</v>
      </c>
      <c r="C80" s="10">
        <v>1650</v>
      </c>
      <c r="D80" s="10">
        <v>1090</v>
      </c>
      <c r="E80" s="108">
        <v>400</v>
      </c>
      <c r="F80" s="10">
        <v>100</v>
      </c>
      <c r="G80" s="10">
        <v>160</v>
      </c>
      <c r="H80" s="166">
        <v>200</v>
      </c>
      <c r="I80" s="166">
        <v>200</v>
      </c>
    </row>
    <row r="81" spans="1:9" x14ac:dyDescent="0.2">
      <c r="A81" s="245" t="s">
        <v>746</v>
      </c>
      <c r="B81" s="157" t="s">
        <v>1865</v>
      </c>
      <c r="C81" s="10">
        <v>984.53</v>
      </c>
      <c r="D81" s="10">
        <v>662.84</v>
      </c>
      <c r="E81" s="108">
        <v>306.29000000000002</v>
      </c>
      <c r="F81" s="10">
        <v>224</v>
      </c>
      <c r="G81" s="10">
        <v>300</v>
      </c>
      <c r="H81" s="166">
        <f t="shared" ref="H81:I83" si="12">+G81</f>
        <v>300</v>
      </c>
      <c r="I81" s="166">
        <f t="shared" si="12"/>
        <v>300</v>
      </c>
    </row>
    <row r="82" spans="1:9" x14ac:dyDescent="0.2">
      <c r="A82" s="245" t="s">
        <v>747</v>
      </c>
      <c r="B82" s="157" t="s">
        <v>1866</v>
      </c>
      <c r="C82" s="10">
        <v>2526.94</v>
      </c>
      <c r="D82" s="10">
        <v>1961.13</v>
      </c>
      <c r="E82" s="108">
        <v>933.44</v>
      </c>
      <c r="F82" s="10">
        <v>792.34</v>
      </c>
      <c r="G82" s="10">
        <v>488.5</v>
      </c>
      <c r="H82" s="166">
        <v>1000</v>
      </c>
      <c r="I82" s="166">
        <f t="shared" si="12"/>
        <v>1000</v>
      </c>
    </row>
    <row r="83" spans="1:9" x14ac:dyDescent="0.2">
      <c r="A83" s="245" t="s">
        <v>748</v>
      </c>
      <c r="B83" s="158" t="s">
        <v>1867</v>
      </c>
      <c r="C83" s="10"/>
      <c r="D83" s="10">
        <v>1540</v>
      </c>
      <c r="E83" s="108">
        <v>280</v>
      </c>
      <c r="F83" s="10">
        <v>0</v>
      </c>
      <c r="G83" s="10">
        <v>0</v>
      </c>
      <c r="H83" s="166">
        <v>300</v>
      </c>
      <c r="I83" s="166">
        <f t="shared" si="12"/>
        <v>300</v>
      </c>
    </row>
    <row r="84" spans="1:9" x14ac:dyDescent="0.2">
      <c r="A84" s="245"/>
      <c r="B84" s="125" t="s">
        <v>1851</v>
      </c>
      <c r="C84" s="10"/>
      <c r="E84" s="108"/>
      <c r="G84" s="10"/>
      <c r="H84" s="10"/>
      <c r="I84" s="10"/>
    </row>
    <row r="85" spans="1:9" x14ac:dyDescent="0.2">
      <c r="A85" s="245" t="s">
        <v>756</v>
      </c>
      <c r="B85" s="157" t="s">
        <v>1864</v>
      </c>
      <c r="C85" s="10">
        <v>1260</v>
      </c>
      <c r="D85" s="10">
        <v>760</v>
      </c>
      <c r="E85" s="108">
        <v>240</v>
      </c>
      <c r="F85" s="10">
        <v>140</v>
      </c>
      <c r="G85" s="10">
        <v>720</v>
      </c>
      <c r="H85" s="166">
        <v>300</v>
      </c>
      <c r="I85" s="166">
        <v>600</v>
      </c>
    </row>
    <row r="86" spans="1:9" x14ac:dyDescent="0.2">
      <c r="A86" s="245" t="s">
        <v>757</v>
      </c>
      <c r="B86" s="157" t="s">
        <v>1865</v>
      </c>
      <c r="C86" s="10">
        <v>4296.53</v>
      </c>
      <c r="D86" s="10">
        <v>2739.44</v>
      </c>
      <c r="E86" s="108">
        <v>982.6</v>
      </c>
      <c r="F86" s="10">
        <v>984.07</v>
      </c>
      <c r="G86" s="10">
        <v>1016</v>
      </c>
      <c r="H86" s="166">
        <v>1000</v>
      </c>
      <c r="I86" s="166">
        <f t="shared" ref="H86:I88" si="13">+H86</f>
        <v>1000</v>
      </c>
    </row>
    <row r="87" spans="1:9" x14ac:dyDescent="0.2">
      <c r="A87" s="245" t="s">
        <v>758</v>
      </c>
      <c r="B87" s="157" t="s">
        <v>1866</v>
      </c>
      <c r="C87" s="10">
        <v>7796.75</v>
      </c>
      <c r="D87" s="10">
        <v>6376.94</v>
      </c>
      <c r="E87" s="108">
        <v>3289.37</v>
      </c>
      <c r="F87" s="10">
        <v>2285.63</v>
      </c>
      <c r="G87" s="10">
        <v>2125.31</v>
      </c>
      <c r="H87" s="166">
        <v>2000</v>
      </c>
      <c r="I87" s="166">
        <v>2000</v>
      </c>
    </row>
    <row r="88" spans="1:9" x14ac:dyDescent="0.2">
      <c r="A88" s="245" t="s">
        <v>1437</v>
      </c>
      <c r="B88" s="158" t="s">
        <v>1867</v>
      </c>
      <c r="C88" s="10"/>
      <c r="D88" s="10">
        <v>20</v>
      </c>
      <c r="E88" s="108">
        <v>0</v>
      </c>
      <c r="F88" s="10">
        <v>0</v>
      </c>
      <c r="G88" s="10">
        <v>0</v>
      </c>
      <c r="H88" s="166">
        <f t="shared" si="13"/>
        <v>0</v>
      </c>
      <c r="I88" s="166">
        <f t="shared" si="13"/>
        <v>0</v>
      </c>
    </row>
    <row r="89" spans="1:9" x14ac:dyDescent="0.2">
      <c r="A89" s="245"/>
      <c r="B89" s="125" t="s">
        <v>1852</v>
      </c>
      <c r="C89" s="10"/>
      <c r="E89" s="108"/>
      <c r="G89" s="10"/>
      <c r="H89" s="10"/>
      <c r="I89" s="10"/>
    </row>
    <row r="90" spans="1:9" x14ac:dyDescent="0.2">
      <c r="A90" s="245" t="s">
        <v>1438</v>
      </c>
      <c r="B90" s="157" t="s">
        <v>1864</v>
      </c>
      <c r="C90" s="10">
        <v>2620</v>
      </c>
      <c r="D90" s="10">
        <v>1580</v>
      </c>
      <c r="E90" s="108">
        <v>650</v>
      </c>
      <c r="F90" s="10">
        <v>320</v>
      </c>
      <c r="G90" s="10">
        <v>240</v>
      </c>
      <c r="H90" s="166">
        <v>650</v>
      </c>
      <c r="I90" s="166">
        <v>500</v>
      </c>
    </row>
    <row r="91" spans="1:9" x14ac:dyDescent="0.2">
      <c r="A91" s="245" t="s">
        <v>1439</v>
      </c>
      <c r="B91" s="157" t="s">
        <v>1865</v>
      </c>
      <c r="C91" s="10">
        <v>2815.95</v>
      </c>
      <c r="D91" s="10">
        <v>1612.47</v>
      </c>
      <c r="E91" s="108">
        <v>868.89</v>
      </c>
      <c r="F91" s="10">
        <v>1304.5</v>
      </c>
      <c r="G91" s="10">
        <v>1272</v>
      </c>
      <c r="H91" s="166">
        <v>900</v>
      </c>
      <c r="I91" s="166">
        <v>1000</v>
      </c>
    </row>
    <row r="92" spans="1:9" x14ac:dyDescent="0.2">
      <c r="A92" s="245" t="s">
        <v>1440</v>
      </c>
      <c r="B92" s="157" t="s">
        <v>1866</v>
      </c>
      <c r="C92" s="10">
        <v>5799.93</v>
      </c>
      <c r="D92" s="10">
        <v>5758.69</v>
      </c>
      <c r="E92" s="108">
        <v>3146.09</v>
      </c>
      <c r="F92" s="10">
        <v>2652.32</v>
      </c>
      <c r="G92" s="10">
        <v>2428.19</v>
      </c>
      <c r="H92" s="166">
        <v>2500</v>
      </c>
      <c r="I92" s="166">
        <v>2500</v>
      </c>
    </row>
    <row r="93" spans="1:9" x14ac:dyDescent="0.2">
      <c r="A93" s="245" t="s">
        <v>1441</v>
      </c>
      <c r="B93" s="158" t="s">
        <v>1867</v>
      </c>
      <c r="C93" s="10">
        <v>20</v>
      </c>
      <c r="D93" s="10">
        <v>8.1</v>
      </c>
      <c r="E93" s="108">
        <v>3.81</v>
      </c>
      <c r="F93" s="10">
        <v>0</v>
      </c>
      <c r="G93" s="10">
        <v>0</v>
      </c>
      <c r="H93" s="166">
        <f>+G93</f>
        <v>0</v>
      </c>
      <c r="I93" s="166">
        <f>+H93</f>
        <v>0</v>
      </c>
    </row>
    <row r="94" spans="1:9" x14ac:dyDescent="0.2">
      <c r="A94" s="245"/>
      <c r="B94" s="6" t="s">
        <v>1118</v>
      </c>
      <c r="C94" s="113">
        <f t="shared" ref="C94:G94" si="14">SUM(C75:C93)</f>
        <v>33917.57</v>
      </c>
      <c r="D94" s="113">
        <f t="shared" si="14"/>
        <v>27120.36</v>
      </c>
      <c r="E94" s="150">
        <f t="shared" si="14"/>
        <v>13553.47</v>
      </c>
      <c r="F94" s="113">
        <f t="shared" si="14"/>
        <v>10969.26</v>
      </c>
      <c r="G94" s="113">
        <f t="shared" si="14"/>
        <v>11943.37</v>
      </c>
      <c r="H94" s="113">
        <f t="shared" ref="H94:I94" si="15">SUM(H75:H93)</f>
        <v>11450</v>
      </c>
      <c r="I94" s="113">
        <f t="shared" si="15"/>
        <v>11700</v>
      </c>
    </row>
    <row r="95" spans="1:9" x14ac:dyDescent="0.2">
      <c r="C95" s="10"/>
      <c r="E95" s="108"/>
      <c r="G95" s="10"/>
      <c r="H95" s="10"/>
      <c r="I95" s="10"/>
    </row>
    <row r="96" spans="1:9" x14ac:dyDescent="0.2">
      <c r="A96" s="246" t="s">
        <v>979</v>
      </c>
      <c r="B96" s="4" t="s">
        <v>1582</v>
      </c>
      <c r="C96" s="10"/>
      <c r="E96" s="108"/>
      <c r="G96" s="10"/>
      <c r="H96" s="10"/>
      <c r="I96" s="10"/>
    </row>
    <row r="97" spans="1:9" x14ac:dyDescent="0.2">
      <c r="A97" s="245" t="s">
        <v>1442</v>
      </c>
      <c r="B97" s="125" t="s">
        <v>1761</v>
      </c>
      <c r="C97" s="17">
        <v>141329.56</v>
      </c>
      <c r="D97" s="164">
        <v>286590.89</v>
      </c>
      <c r="E97" s="142">
        <v>276740.24</v>
      </c>
      <c r="F97" s="17">
        <v>250802.26</v>
      </c>
      <c r="G97" s="17">
        <v>249140.1</v>
      </c>
      <c r="H97" s="211">
        <v>350000</v>
      </c>
      <c r="I97" s="211">
        <v>700000</v>
      </c>
    </row>
    <row r="98" spans="1:9" x14ac:dyDescent="0.2">
      <c r="A98" s="245" t="s">
        <v>1443</v>
      </c>
      <c r="B98" s="125" t="s">
        <v>1868</v>
      </c>
      <c r="C98" s="17">
        <v>791.21</v>
      </c>
      <c r="D98" s="164">
        <v>17331.41</v>
      </c>
      <c r="E98" s="142">
        <v>12374.29</v>
      </c>
      <c r="F98" s="17">
        <v>1098.1300000000001</v>
      </c>
      <c r="G98" s="17">
        <v>56200.39</v>
      </c>
      <c r="H98" s="166">
        <v>10000</v>
      </c>
      <c r="I98" s="166">
        <v>50000</v>
      </c>
    </row>
    <row r="99" spans="1:9" x14ac:dyDescent="0.2">
      <c r="A99" s="245" t="s">
        <v>771</v>
      </c>
      <c r="B99" s="125" t="s">
        <v>1869</v>
      </c>
      <c r="C99" s="17">
        <v>38177.33</v>
      </c>
      <c r="D99" s="164">
        <v>47640.71</v>
      </c>
      <c r="E99" s="142">
        <v>68320.710000000006</v>
      </c>
      <c r="F99" s="17">
        <v>61677.94</v>
      </c>
      <c r="G99" s="17">
        <v>33012.74</v>
      </c>
      <c r="H99" s="166">
        <v>50000</v>
      </c>
      <c r="I99" s="166">
        <v>50000</v>
      </c>
    </row>
    <row r="100" spans="1:9" x14ac:dyDescent="0.2">
      <c r="A100" s="245" t="s">
        <v>1444</v>
      </c>
      <c r="B100" s="125" t="s">
        <v>1870</v>
      </c>
      <c r="C100" s="10">
        <v>0</v>
      </c>
      <c r="D100" s="103">
        <v>0</v>
      </c>
      <c r="E100" s="108">
        <v>0</v>
      </c>
      <c r="F100" s="10">
        <v>724.75</v>
      </c>
      <c r="G100" s="10">
        <v>1206.6099999999999</v>
      </c>
      <c r="H100" s="166">
        <v>0</v>
      </c>
      <c r="I100" s="166">
        <v>1000</v>
      </c>
    </row>
    <row r="101" spans="1:9" x14ac:dyDescent="0.2">
      <c r="A101" s="245" t="s">
        <v>2324</v>
      </c>
      <c r="B101" s="125" t="s">
        <v>1909</v>
      </c>
      <c r="C101" s="10">
        <v>0</v>
      </c>
      <c r="D101" s="103">
        <v>0</v>
      </c>
      <c r="E101" s="108">
        <v>45</v>
      </c>
      <c r="F101" s="10">
        <v>0</v>
      </c>
      <c r="G101" s="10">
        <v>0</v>
      </c>
      <c r="H101" s="166">
        <f t="shared" ref="H101:I111" si="16">+G101</f>
        <v>0</v>
      </c>
      <c r="I101" s="166">
        <f t="shared" si="16"/>
        <v>0</v>
      </c>
    </row>
    <row r="102" spans="1:9" x14ac:dyDescent="0.2">
      <c r="A102" s="245" t="s">
        <v>832</v>
      </c>
      <c r="B102" s="125" t="s">
        <v>1871</v>
      </c>
      <c r="C102" s="10">
        <v>14077.8</v>
      </c>
      <c r="D102" s="103">
        <v>8866.4500000000007</v>
      </c>
      <c r="E102" s="151">
        <v>4743.03</v>
      </c>
      <c r="F102" s="10">
        <v>13808.39</v>
      </c>
      <c r="G102" s="10">
        <v>11030.94</v>
      </c>
      <c r="H102" s="166">
        <v>7000</v>
      </c>
      <c r="I102" s="166">
        <v>15000</v>
      </c>
    </row>
    <row r="103" spans="1:9" x14ac:dyDescent="0.2">
      <c r="A103" s="245" t="s">
        <v>772</v>
      </c>
      <c r="B103" s="125" t="s">
        <v>1872</v>
      </c>
      <c r="C103" s="10">
        <v>14538</v>
      </c>
      <c r="D103" s="103">
        <v>20700</v>
      </c>
      <c r="E103" s="151">
        <v>10775</v>
      </c>
      <c r="F103" s="10">
        <v>10225</v>
      </c>
      <c r="G103" s="10">
        <v>17150</v>
      </c>
      <c r="H103" s="166">
        <v>10000</v>
      </c>
      <c r="I103" s="166">
        <v>16000</v>
      </c>
    </row>
    <row r="104" spans="1:9" x14ac:dyDescent="0.2">
      <c r="A104" s="245" t="s">
        <v>1445</v>
      </c>
      <c r="B104" s="125" t="s">
        <v>1873</v>
      </c>
      <c r="C104" s="10">
        <v>0</v>
      </c>
      <c r="D104" s="103">
        <v>0</v>
      </c>
      <c r="E104" s="108">
        <v>0</v>
      </c>
      <c r="F104" s="10">
        <v>0</v>
      </c>
      <c r="G104" s="10">
        <v>0</v>
      </c>
      <c r="H104" s="166">
        <f t="shared" si="16"/>
        <v>0</v>
      </c>
      <c r="I104" s="166">
        <f t="shared" si="16"/>
        <v>0</v>
      </c>
    </row>
    <row r="105" spans="1:9" x14ac:dyDescent="0.2">
      <c r="A105" s="245" t="s">
        <v>1446</v>
      </c>
      <c r="B105" s="125" t="s">
        <v>1874</v>
      </c>
      <c r="C105" s="17">
        <v>91027.56</v>
      </c>
      <c r="D105" s="164">
        <v>120437.17</v>
      </c>
      <c r="E105" s="142">
        <v>113908.91</v>
      </c>
      <c r="F105" s="17">
        <v>115751.85</v>
      </c>
      <c r="G105" s="17">
        <v>115951.4</v>
      </c>
      <c r="H105" s="166">
        <v>110000</v>
      </c>
      <c r="I105" s="166">
        <v>70000</v>
      </c>
    </row>
    <row r="106" spans="1:9" x14ac:dyDescent="0.2">
      <c r="A106" s="245" t="s">
        <v>774</v>
      </c>
      <c r="B106" s="125" t="s">
        <v>1875</v>
      </c>
      <c r="C106" s="17">
        <v>0</v>
      </c>
      <c r="D106" s="164">
        <v>0</v>
      </c>
      <c r="E106" s="145">
        <v>911376</v>
      </c>
      <c r="F106" s="17">
        <v>201105</v>
      </c>
      <c r="G106" s="17">
        <v>0</v>
      </c>
      <c r="H106" s="166">
        <f t="shared" si="16"/>
        <v>0</v>
      </c>
      <c r="I106" s="166">
        <f t="shared" si="16"/>
        <v>0</v>
      </c>
    </row>
    <row r="107" spans="1:9" x14ac:dyDescent="0.2">
      <c r="A107" s="245" t="s">
        <v>413</v>
      </c>
      <c r="B107" s="125" t="s">
        <v>1876</v>
      </c>
      <c r="C107" s="17">
        <v>28042.81</v>
      </c>
      <c r="D107" s="164">
        <v>35323.129999999997</v>
      </c>
      <c r="E107" s="142">
        <v>30260.27</v>
      </c>
      <c r="F107" s="17">
        <v>69291.61</v>
      </c>
      <c r="G107" s="17">
        <v>76600.399999999994</v>
      </c>
      <c r="H107" s="166">
        <v>50000</v>
      </c>
      <c r="I107" s="166">
        <v>50000</v>
      </c>
    </row>
    <row r="108" spans="1:9" x14ac:dyDescent="0.2">
      <c r="A108" s="247" t="s">
        <v>1716</v>
      </c>
      <c r="B108" s="126" t="s">
        <v>1877</v>
      </c>
      <c r="C108" s="17">
        <v>52701.77</v>
      </c>
      <c r="D108" s="164">
        <v>72473.240000000005</v>
      </c>
      <c r="E108" s="142">
        <v>65899.8</v>
      </c>
      <c r="F108" s="17">
        <v>172544.31</v>
      </c>
      <c r="G108" s="17">
        <v>20742.580000000002</v>
      </c>
      <c r="H108" s="166">
        <v>10000</v>
      </c>
      <c r="I108" s="166">
        <v>10000</v>
      </c>
    </row>
    <row r="109" spans="1:9" x14ac:dyDescent="0.2">
      <c r="A109" s="245" t="s">
        <v>1447</v>
      </c>
      <c r="B109" s="125" t="s">
        <v>1878</v>
      </c>
      <c r="C109" s="10">
        <v>80245.67</v>
      </c>
      <c r="D109" s="103">
        <v>69992.070000000007</v>
      </c>
      <c r="E109" s="143">
        <v>84830.38</v>
      </c>
      <c r="F109" s="10">
        <v>72602.77</v>
      </c>
      <c r="G109" s="10">
        <v>69160.02</v>
      </c>
      <c r="H109" s="166">
        <v>70000</v>
      </c>
      <c r="I109" s="166">
        <v>70000</v>
      </c>
    </row>
    <row r="110" spans="1:9" x14ac:dyDescent="0.2">
      <c r="A110" s="245" t="s">
        <v>85</v>
      </c>
      <c r="B110" s="125" t="s">
        <v>1879</v>
      </c>
      <c r="C110" s="10">
        <v>1900</v>
      </c>
      <c r="D110" s="103">
        <v>250</v>
      </c>
      <c r="E110" s="143">
        <v>0</v>
      </c>
      <c r="F110" s="10">
        <v>1725</v>
      </c>
      <c r="G110" s="10">
        <v>150</v>
      </c>
      <c r="H110" s="166">
        <v>1800</v>
      </c>
      <c r="I110" s="166">
        <v>1000</v>
      </c>
    </row>
    <row r="111" spans="1:9" x14ac:dyDescent="0.2">
      <c r="A111" s="245" t="s">
        <v>481</v>
      </c>
      <c r="B111" s="125" t="s">
        <v>1880</v>
      </c>
      <c r="C111" s="10">
        <v>0</v>
      </c>
      <c r="D111" s="103">
        <v>0</v>
      </c>
      <c r="E111" s="143">
        <v>0</v>
      </c>
      <c r="F111" s="10">
        <v>0</v>
      </c>
      <c r="G111" s="10">
        <v>0</v>
      </c>
      <c r="H111" s="166">
        <f t="shared" si="16"/>
        <v>0</v>
      </c>
      <c r="I111" s="166">
        <f t="shared" si="16"/>
        <v>0</v>
      </c>
    </row>
    <row r="112" spans="1:9" x14ac:dyDescent="0.2">
      <c r="A112" s="245" t="s">
        <v>775</v>
      </c>
      <c r="B112" s="125" t="s">
        <v>1881</v>
      </c>
      <c r="C112" s="17">
        <v>120588.06</v>
      </c>
      <c r="D112" s="164">
        <v>33989.21</v>
      </c>
      <c r="E112" s="145">
        <v>45774.64</v>
      </c>
      <c r="F112" s="17">
        <v>145284.88</v>
      </c>
      <c r="G112" s="17">
        <v>8430.8799999999992</v>
      </c>
      <c r="H112" s="166">
        <v>15000.4</v>
      </c>
      <c r="I112" s="166">
        <v>15000</v>
      </c>
    </row>
    <row r="113" spans="1:9" x14ac:dyDescent="0.2">
      <c r="B113" s="6" t="s">
        <v>1118</v>
      </c>
      <c r="C113" s="38">
        <f t="shared" ref="C113:G113" si="17">SUM(C97:C112)</f>
        <v>583419.77</v>
      </c>
      <c r="D113" s="165">
        <f t="shared" si="17"/>
        <v>713594.28</v>
      </c>
      <c r="E113" s="141">
        <f t="shared" si="17"/>
        <v>1625048.2700000003</v>
      </c>
      <c r="F113" s="38">
        <f t="shared" si="17"/>
        <v>1116641.8900000001</v>
      </c>
      <c r="G113" s="38">
        <f t="shared" si="17"/>
        <v>658776.05999999994</v>
      </c>
      <c r="H113" s="38">
        <f t="shared" ref="H113:I113" si="18">SUM(H97:H112)</f>
        <v>683800.4</v>
      </c>
      <c r="I113" s="38">
        <f t="shared" si="18"/>
        <v>1048000</v>
      </c>
    </row>
    <row r="114" spans="1:9" x14ac:dyDescent="0.2">
      <c r="C114" s="10"/>
      <c r="E114" s="108"/>
      <c r="G114" s="10"/>
      <c r="H114" s="10"/>
      <c r="I114" s="10"/>
    </row>
    <row r="115" spans="1:9" x14ac:dyDescent="0.2">
      <c r="A115" s="249">
        <v>100.4</v>
      </c>
      <c r="B115" s="4" t="s">
        <v>1825</v>
      </c>
      <c r="C115" s="10"/>
      <c r="E115" s="143"/>
      <c r="G115" s="10"/>
      <c r="H115" s="10"/>
      <c r="I115" s="10"/>
    </row>
    <row r="116" spans="1:9" x14ac:dyDescent="0.2">
      <c r="A116" s="250" t="s">
        <v>1826</v>
      </c>
      <c r="B116" s="125" t="s">
        <v>1882</v>
      </c>
      <c r="C116" s="17">
        <v>0</v>
      </c>
      <c r="D116" s="17">
        <v>0</v>
      </c>
      <c r="E116" s="140">
        <v>0</v>
      </c>
      <c r="F116" s="17">
        <v>0</v>
      </c>
      <c r="G116" s="17">
        <v>0</v>
      </c>
      <c r="H116" s="17">
        <v>0</v>
      </c>
      <c r="I116" s="17">
        <v>0</v>
      </c>
    </row>
    <row r="117" spans="1:9" x14ac:dyDescent="0.2">
      <c r="A117" s="250"/>
      <c r="B117" s="6"/>
      <c r="C117" s="127">
        <f t="shared" ref="C117:F117" si="19">+C116</f>
        <v>0</v>
      </c>
      <c r="D117" s="127">
        <f t="shared" si="19"/>
        <v>0</v>
      </c>
      <c r="E117" s="146">
        <f t="shared" si="19"/>
        <v>0</v>
      </c>
      <c r="F117" s="127">
        <f t="shared" si="19"/>
        <v>0</v>
      </c>
      <c r="G117" s="127">
        <f t="shared" ref="G117:H117" si="20">+G116</f>
        <v>0</v>
      </c>
      <c r="H117" s="127">
        <f t="shared" si="20"/>
        <v>0</v>
      </c>
      <c r="I117" s="127">
        <f t="shared" ref="I117" si="21">+I116</f>
        <v>0</v>
      </c>
    </row>
    <row r="118" spans="1:9" x14ac:dyDescent="0.2">
      <c r="B118" s="6"/>
      <c r="C118" s="10"/>
      <c r="E118" s="143"/>
      <c r="G118" s="10"/>
      <c r="H118" s="10"/>
      <c r="I118" s="10"/>
    </row>
    <row r="119" spans="1:9" ht="13.5" thickBot="1" x14ac:dyDescent="0.25">
      <c r="B119" s="6" t="s">
        <v>137</v>
      </c>
      <c r="C119" s="36">
        <f t="shared" ref="C119:I119" si="22">C8+C15+C30+C68+C94+C113+C117</f>
        <v>20408361.769999996</v>
      </c>
      <c r="D119" s="36">
        <f t="shared" si="22"/>
        <v>21181433.09</v>
      </c>
      <c r="E119" s="144">
        <f t="shared" si="22"/>
        <v>23069113.709999997</v>
      </c>
      <c r="F119" s="36">
        <f t="shared" si="22"/>
        <v>24429061.640000001</v>
      </c>
      <c r="G119" s="36">
        <f t="shared" si="22"/>
        <v>23912245.909999993</v>
      </c>
      <c r="H119" s="36">
        <f t="shared" si="22"/>
        <v>23700103.399999999</v>
      </c>
      <c r="I119" s="36">
        <f t="shared" si="22"/>
        <v>28091250.399243839</v>
      </c>
    </row>
    <row r="120" spans="1:9" ht="13.5" thickTop="1" x14ac:dyDescent="0.2">
      <c r="B120" s="6"/>
      <c r="C120" s="8"/>
      <c r="E120" s="8"/>
      <c r="G120" s="115"/>
      <c r="H120" s="10"/>
      <c r="I120" s="10"/>
    </row>
    <row r="121" spans="1:9" x14ac:dyDescent="0.2">
      <c r="B121" s="4" t="s">
        <v>653</v>
      </c>
      <c r="C121" s="1" t="s">
        <v>1433</v>
      </c>
      <c r="D121" s="112" t="s">
        <v>1433</v>
      </c>
      <c r="E121" s="136"/>
      <c r="F121" s="112" t="s">
        <v>1433</v>
      </c>
      <c r="G121" s="222" t="s">
        <v>1433</v>
      </c>
      <c r="H121" s="112" t="s">
        <v>1433</v>
      </c>
      <c r="I121" s="112" t="s">
        <v>1433</v>
      </c>
    </row>
    <row r="122" spans="1:9" x14ac:dyDescent="0.2">
      <c r="B122" s="4" t="s">
        <v>980</v>
      </c>
      <c r="C122" s="1" t="s">
        <v>1433</v>
      </c>
      <c r="D122" s="112" t="s">
        <v>1433</v>
      </c>
      <c r="E122" s="1" t="s">
        <v>1433</v>
      </c>
      <c r="F122" s="112" t="s">
        <v>1433</v>
      </c>
      <c r="G122" s="222" t="s">
        <v>1433</v>
      </c>
      <c r="H122" s="112" t="s">
        <v>1433</v>
      </c>
      <c r="I122" s="112" t="s">
        <v>1433</v>
      </c>
    </row>
    <row r="123" spans="1:9" x14ac:dyDescent="0.2">
      <c r="B123" s="4" t="s">
        <v>138</v>
      </c>
      <c r="C123" s="1" t="s">
        <v>1433</v>
      </c>
      <c r="D123" s="112" t="s">
        <v>1433</v>
      </c>
      <c r="E123" s="1" t="s">
        <v>1433</v>
      </c>
      <c r="F123" s="112" t="s">
        <v>1433</v>
      </c>
      <c r="G123" s="222" t="s">
        <v>1433</v>
      </c>
      <c r="H123" s="112" t="s">
        <v>1433</v>
      </c>
      <c r="I123" s="112" t="s">
        <v>1433</v>
      </c>
    </row>
    <row r="124" spans="1:9" x14ac:dyDescent="0.2">
      <c r="A124" s="245"/>
      <c r="C124" s="7" t="str">
        <f>+$C$4</f>
        <v>2018 ACTUAL</v>
      </c>
      <c r="D124" s="129" t="str">
        <f t="shared" ref="D124:I124" si="23">+D$4</f>
        <v>2019 ACTUAL</v>
      </c>
      <c r="E124" s="7" t="str">
        <f t="shared" si="23"/>
        <v>2020 ACTUAL</v>
      </c>
      <c r="F124" s="129" t="str">
        <f t="shared" si="23"/>
        <v>2021 ACTUAL</v>
      </c>
      <c r="G124" s="223" t="str">
        <f t="shared" si="23"/>
        <v>2022 ACTUAL</v>
      </c>
      <c r="H124" s="129" t="str">
        <f t="shared" si="23"/>
        <v xml:space="preserve">2023 BUDGET </v>
      </c>
      <c r="I124" s="129" t="str">
        <f t="shared" si="23"/>
        <v xml:space="preserve">2024 BUDGET </v>
      </c>
    </row>
    <row r="125" spans="1:9" x14ac:dyDescent="0.2">
      <c r="A125" s="249">
        <v>100.4</v>
      </c>
      <c r="B125" s="4" t="s">
        <v>1825</v>
      </c>
      <c r="C125" s="8"/>
      <c r="E125" s="8"/>
      <c r="G125" s="115"/>
      <c r="H125" s="10"/>
      <c r="I125" s="10"/>
    </row>
    <row r="126" spans="1:9" x14ac:dyDescent="0.2">
      <c r="A126" s="250" t="s">
        <v>1826</v>
      </c>
      <c r="B126" s="126" t="s">
        <v>1883</v>
      </c>
      <c r="C126" s="17">
        <v>0</v>
      </c>
      <c r="D126" s="17">
        <v>397012.71</v>
      </c>
      <c r="E126" s="17">
        <v>60000</v>
      </c>
      <c r="F126" s="17">
        <v>70000</v>
      </c>
      <c r="G126" s="17">
        <v>75000</v>
      </c>
      <c r="H126" s="17">
        <f>+'550-Security'!H13</f>
        <v>130000</v>
      </c>
      <c r="I126" s="17">
        <f>+'550-Security'!I13</f>
        <v>170000</v>
      </c>
    </row>
    <row r="127" spans="1:9" x14ac:dyDescent="0.2">
      <c r="A127" s="250"/>
      <c r="B127" s="6"/>
      <c r="C127" s="127">
        <f t="shared" ref="C127" si="24">+C126</f>
        <v>0</v>
      </c>
      <c r="D127" s="127">
        <f t="shared" ref="D127" si="25">+D126</f>
        <v>397012.71</v>
      </c>
      <c r="E127" s="127">
        <f t="shared" ref="E127" si="26">+E126</f>
        <v>60000</v>
      </c>
      <c r="F127" s="127">
        <f t="shared" ref="F127:G127" si="27">+F126</f>
        <v>70000</v>
      </c>
      <c r="G127" s="127">
        <f t="shared" si="27"/>
        <v>75000</v>
      </c>
      <c r="H127" s="127">
        <f t="shared" ref="H127:I127" si="28">+H126</f>
        <v>130000</v>
      </c>
      <c r="I127" s="127">
        <f t="shared" si="28"/>
        <v>170000</v>
      </c>
    </row>
    <row r="128" spans="1:9" x14ac:dyDescent="0.2">
      <c r="A128" s="250"/>
      <c r="B128" s="6"/>
      <c r="C128" s="10"/>
      <c r="E128" s="10"/>
      <c r="G128" s="10"/>
      <c r="H128" s="10"/>
      <c r="I128" s="10"/>
    </row>
    <row r="129" spans="1:9" x14ac:dyDescent="0.2">
      <c r="A129" s="251" t="s">
        <v>1350</v>
      </c>
      <c r="B129" s="4" t="s">
        <v>139</v>
      </c>
      <c r="C129" s="10"/>
      <c r="E129" s="10"/>
      <c r="G129" s="10"/>
      <c r="H129" s="10"/>
      <c r="I129" s="10"/>
    </row>
    <row r="130" spans="1:9" x14ac:dyDescent="0.2">
      <c r="A130" s="245" t="s">
        <v>1351</v>
      </c>
      <c r="B130" s="126" t="s">
        <v>1884</v>
      </c>
      <c r="C130" s="10">
        <v>57299.06</v>
      </c>
      <c r="D130" s="10">
        <v>58099.08</v>
      </c>
      <c r="E130" s="10">
        <v>58906.02</v>
      </c>
      <c r="F130" s="10">
        <v>60099</v>
      </c>
      <c r="G130" s="10">
        <v>62482.35</v>
      </c>
      <c r="H130" s="166">
        <v>62499</v>
      </c>
      <c r="I130" s="166">
        <v>65624</v>
      </c>
    </row>
    <row r="131" spans="1:9" x14ac:dyDescent="0.2">
      <c r="A131" s="245" t="s">
        <v>1352</v>
      </c>
      <c r="B131" s="126" t="s">
        <v>1885</v>
      </c>
      <c r="C131" s="10">
        <v>43852.12</v>
      </c>
      <c r="D131" s="10">
        <v>45667.96</v>
      </c>
      <c r="E131" s="10">
        <v>46464.91</v>
      </c>
      <c r="F131" s="10">
        <v>47667.88</v>
      </c>
      <c r="G131" s="10">
        <v>51072.86</v>
      </c>
      <c r="H131" s="166">
        <v>51109</v>
      </c>
      <c r="I131" s="166">
        <v>53664</v>
      </c>
    </row>
    <row r="132" spans="1:9" x14ac:dyDescent="0.2">
      <c r="A132" s="245" t="s">
        <v>715</v>
      </c>
      <c r="B132" s="126" t="s">
        <v>1886</v>
      </c>
      <c r="C132" s="18">
        <v>25199.98</v>
      </c>
      <c r="D132" s="18">
        <v>25199.98</v>
      </c>
      <c r="E132" s="18">
        <v>25199.98</v>
      </c>
      <c r="F132" s="18">
        <v>25199.98</v>
      </c>
      <c r="G132" s="18">
        <v>25684.6</v>
      </c>
      <c r="H132" s="166">
        <v>25200</v>
      </c>
      <c r="I132" s="166">
        <f t="shared" ref="I132:I146" si="29">+H132</f>
        <v>25200</v>
      </c>
    </row>
    <row r="133" spans="1:9" x14ac:dyDescent="0.2">
      <c r="A133" s="248" t="s">
        <v>2429</v>
      </c>
      <c r="B133" s="126" t="s">
        <v>2430</v>
      </c>
      <c r="C133" s="18">
        <v>0</v>
      </c>
      <c r="D133" s="18">
        <v>0</v>
      </c>
      <c r="E133" s="18">
        <v>0</v>
      </c>
      <c r="F133" s="18">
        <v>0</v>
      </c>
      <c r="G133" s="10">
        <v>0</v>
      </c>
      <c r="H133" s="166">
        <f t="shared" ref="H133" si="30">+G133</f>
        <v>0</v>
      </c>
      <c r="I133" s="166">
        <v>36879</v>
      </c>
    </row>
    <row r="134" spans="1:9" x14ac:dyDescent="0.2">
      <c r="A134" s="245" t="s">
        <v>1089</v>
      </c>
      <c r="B134" s="126" t="s">
        <v>2431</v>
      </c>
      <c r="C134" s="10">
        <v>6743.62</v>
      </c>
      <c r="D134" s="10">
        <v>4946.12</v>
      </c>
      <c r="E134" s="10">
        <v>4433.75</v>
      </c>
      <c r="F134" s="10">
        <v>0</v>
      </c>
      <c r="G134" s="10">
        <v>4363.38</v>
      </c>
      <c r="H134" s="166">
        <v>30336</v>
      </c>
      <c r="I134" s="166">
        <v>0</v>
      </c>
    </row>
    <row r="135" spans="1:9" x14ac:dyDescent="0.2">
      <c r="A135" s="245" t="s">
        <v>2652</v>
      </c>
      <c r="B135" s="126" t="s">
        <v>2525</v>
      </c>
      <c r="C135" s="10"/>
      <c r="E135" s="10">
        <v>0</v>
      </c>
      <c r="F135" s="10">
        <v>0</v>
      </c>
      <c r="G135" s="10">
        <v>0</v>
      </c>
      <c r="H135" s="166">
        <v>0</v>
      </c>
      <c r="I135" s="166">
        <v>750</v>
      </c>
    </row>
    <row r="136" spans="1:9" x14ac:dyDescent="0.2">
      <c r="A136" s="245" t="s">
        <v>1654</v>
      </c>
      <c r="B136" s="126" t="s">
        <v>1887</v>
      </c>
      <c r="C136" s="10">
        <v>0</v>
      </c>
      <c r="D136" s="10">
        <v>0</v>
      </c>
      <c r="E136" s="10">
        <v>0</v>
      </c>
      <c r="F136" s="10">
        <v>1503</v>
      </c>
      <c r="G136" s="10">
        <v>938.46</v>
      </c>
      <c r="H136" s="166">
        <v>0</v>
      </c>
      <c r="I136" s="166">
        <f t="shared" si="29"/>
        <v>0</v>
      </c>
    </row>
    <row r="137" spans="1:9" x14ac:dyDescent="0.2">
      <c r="A137" s="245" t="s">
        <v>716</v>
      </c>
      <c r="B137" s="126" t="s">
        <v>1889</v>
      </c>
      <c r="C137" s="10">
        <v>1797.67</v>
      </c>
      <c r="D137" s="10">
        <v>1818.43</v>
      </c>
      <c r="E137" s="10">
        <v>1499.94</v>
      </c>
      <c r="F137" s="10">
        <v>1499.94</v>
      </c>
      <c r="G137" s="10">
        <v>1557.63</v>
      </c>
      <c r="H137" s="166">
        <v>1680</v>
      </c>
      <c r="I137" s="166">
        <v>1740</v>
      </c>
    </row>
    <row r="138" spans="1:9" x14ac:dyDescent="0.2">
      <c r="A138" s="245" t="s">
        <v>1792</v>
      </c>
      <c r="B138" s="126" t="s">
        <v>1890</v>
      </c>
      <c r="C138" s="10">
        <v>5000.0600000000004</v>
      </c>
      <c r="D138" s="10">
        <v>5000.0600000000004</v>
      </c>
      <c r="E138" s="10">
        <v>5000.0600000000004</v>
      </c>
      <c r="F138" s="10">
        <v>5000.0600000000004</v>
      </c>
      <c r="G138" s="10">
        <v>10144.09</v>
      </c>
      <c r="H138" s="166">
        <v>7500</v>
      </c>
      <c r="I138" s="166">
        <f t="shared" si="29"/>
        <v>7500</v>
      </c>
    </row>
    <row r="139" spans="1:9" x14ac:dyDescent="0.2">
      <c r="A139" s="245" t="s">
        <v>717</v>
      </c>
      <c r="B139" s="126" t="s">
        <v>1891</v>
      </c>
      <c r="C139" s="10">
        <v>10370.73</v>
      </c>
      <c r="D139" s="10">
        <v>10730.03</v>
      </c>
      <c r="E139" s="10">
        <v>10605.28</v>
      </c>
      <c r="F139" s="10">
        <v>10557.88</v>
      </c>
      <c r="G139" s="10">
        <v>11792.63</v>
      </c>
      <c r="H139" s="166">
        <v>14675</v>
      </c>
      <c r="I139" s="166">
        <v>15672</v>
      </c>
    </row>
    <row r="140" spans="1:9" x14ac:dyDescent="0.2">
      <c r="A140" s="245" t="s">
        <v>718</v>
      </c>
      <c r="B140" s="126" t="s">
        <v>1892</v>
      </c>
      <c r="C140" s="10">
        <v>16005.26</v>
      </c>
      <c r="D140" s="10">
        <v>16298.71</v>
      </c>
      <c r="E140" s="10">
        <v>17311.080000000002</v>
      </c>
      <c r="F140" s="10">
        <v>17796.080000000002</v>
      </c>
      <c r="G140" s="10">
        <v>19242.330000000002</v>
      </c>
      <c r="H140" s="166">
        <v>22887</v>
      </c>
      <c r="I140" s="166">
        <v>25506</v>
      </c>
    </row>
    <row r="141" spans="1:9" x14ac:dyDescent="0.2">
      <c r="A141" s="245" t="s">
        <v>719</v>
      </c>
      <c r="B141" s="126" t="s">
        <v>1893</v>
      </c>
      <c r="C141" s="18">
        <v>13314.94</v>
      </c>
      <c r="D141" s="18">
        <v>13085.62</v>
      </c>
      <c r="E141" s="18">
        <v>14929.42</v>
      </c>
      <c r="F141" s="18">
        <v>14941.18</v>
      </c>
      <c r="G141" s="18">
        <v>14955.4</v>
      </c>
      <c r="H141" s="166">
        <f>23400+234</f>
        <v>23634</v>
      </c>
      <c r="I141" s="166">
        <v>23400</v>
      </c>
    </row>
    <row r="142" spans="1:9" x14ac:dyDescent="0.2">
      <c r="A142" s="245" t="s">
        <v>518</v>
      </c>
      <c r="B142" s="126" t="s">
        <v>1894</v>
      </c>
      <c r="C142" s="18">
        <v>1290.1199999999999</v>
      </c>
      <c r="D142" s="18">
        <v>1290.1199999999999</v>
      </c>
      <c r="E142" s="18">
        <v>1290.1199999999999</v>
      </c>
      <c r="F142" s="18">
        <v>1290.1199999999999</v>
      </c>
      <c r="G142" s="18">
        <v>1314.93</v>
      </c>
      <c r="H142" s="166">
        <v>1290</v>
      </c>
      <c r="I142" s="166">
        <f t="shared" si="29"/>
        <v>1290</v>
      </c>
    </row>
    <row r="143" spans="1:9" x14ac:dyDescent="0.2">
      <c r="A143" s="245" t="s">
        <v>720</v>
      </c>
      <c r="B143" s="126" t="s">
        <v>1895</v>
      </c>
      <c r="C143" s="10">
        <v>1643.82</v>
      </c>
      <c r="D143" s="10">
        <v>2826.34</v>
      </c>
      <c r="E143" s="10">
        <v>1981.15</v>
      </c>
      <c r="F143" s="10">
        <v>873.35</v>
      </c>
      <c r="G143" s="10">
        <v>3510.62</v>
      </c>
      <c r="H143" s="166">
        <v>2080</v>
      </c>
      <c r="I143" s="166">
        <v>2200</v>
      </c>
    </row>
    <row r="144" spans="1:9" x14ac:dyDescent="0.2">
      <c r="A144" s="245" t="s">
        <v>721</v>
      </c>
      <c r="B144" s="126" t="s">
        <v>1896</v>
      </c>
      <c r="C144" s="10">
        <v>245.88</v>
      </c>
      <c r="D144" s="10">
        <v>340.1</v>
      </c>
      <c r="E144" s="10">
        <v>152.5</v>
      </c>
      <c r="F144" s="10">
        <v>94.44</v>
      </c>
      <c r="G144" s="10">
        <v>89.62</v>
      </c>
      <c r="H144" s="166">
        <v>300</v>
      </c>
      <c r="I144" s="166">
        <f t="shared" si="29"/>
        <v>300</v>
      </c>
    </row>
    <row r="145" spans="1:9" x14ac:dyDescent="0.2">
      <c r="A145" s="245" t="s">
        <v>722</v>
      </c>
      <c r="B145" s="126" t="s">
        <v>1897</v>
      </c>
      <c r="C145" s="10">
        <v>960</v>
      </c>
      <c r="D145" s="10">
        <v>960</v>
      </c>
      <c r="E145" s="10">
        <v>1898.72</v>
      </c>
      <c r="F145" s="10">
        <v>2136.46</v>
      </c>
      <c r="G145" s="10">
        <v>1871.76</v>
      </c>
      <c r="H145" s="166">
        <v>1900</v>
      </c>
      <c r="I145" s="166">
        <f t="shared" si="29"/>
        <v>1900</v>
      </c>
    </row>
    <row r="146" spans="1:9" x14ac:dyDescent="0.2">
      <c r="A146" s="245" t="s">
        <v>723</v>
      </c>
      <c r="B146" s="126" t="s">
        <v>1898</v>
      </c>
      <c r="C146" s="10">
        <v>7560.25</v>
      </c>
      <c r="D146" s="10">
        <v>7795.6</v>
      </c>
      <c r="E146" s="10">
        <v>1991.05</v>
      </c>
      <c r="F146" s="10">
        <v>2571.4699999999998</v>
      </c>
      <c r="G146" s="10">
        <v>1410.86</v>
      </c>
      <c r="H146" s="166">
        <v>8000</v>
      </c>
      <c r="I146" s="166">
        <f t="shared" si="29"/>
        <v>8000</v>
      </c>
    </row>
    <row r="147" spans="1:9" x14ac:dyDescent="0.2">
      <c r="A147" s="245" t="s">
        <v>724</v>
      </c>
      <c r="B147" s="126" t="s">
        <v>1899</v>
      </c>
      <c r="C147" s="10">
        <v>297</v>
      </c>
      <c r="D147" s="10">
        <v>1243</v>
      </c>
      <c r="E147" s="10">
        <v>71</v>
      </c>
      <c r="F147" s="10">
        <v>0</v>
      </c>
      <c r="G147" s="10">
        <v>0</v>
      </c>
      <c r="H147" s="10">
        <v>1243</v>
      </c>
      <c r="I147" s="10">
        <v>71</v>
      </c>
    </row>
    <row r="148" spans="1:9" x14ac:dyDescent="0.2">
      <c r="A148" s="245" t="s">
        <v>725</v>
      </c>
      <c r="B148" s="126" t="s">
        <v>1900</v>
      </c>
      <c r="C148" s="18">
        <v>0</v>
      </c>
      <c r="D148" s="18">
        <v>546.73</v>
      </c>
      <c r="E148" s="18">
        <v>2415.35</v>
      </c>
      <c r="F148" s="18">
        <v>0</v>
      </c>
      <c r="G148" s="18">
        <v>1191.5999999999999</v>
      </c>
      <c r="H148" s="166">
        <v>1500</v>
      </c>
      <c r="I148" s="166">
        <v>3000</v>
      </c>
    </row>
    <row r="149" spans="1:9" x14ac:dyDescent="0.2">
      <c r="A149" s="245" t="s">
        <v>1433</v>
      </c>
      <c r="B149" s="6" t="s">
        <v>1118</v>
      </c>
      <c r="C149" s="38">
        <f t="shared" ref="C149:F149" si="31">SUM(C130:C148)</f>
        <v>191580.51000000004</v>
      </c>
      <c r="D149" s="38">
        <f t="shared" si="31"/>
        <v>195847.88</v>
      </c>
      <c r="E149" s="38">
        <f t="shared" si="31"/>
        <v>194150.32999999996</v>
      </c>
      <c r="F149" s="38">
        <f t="shared" si="31"/>
        <v>191230.84</v>
      </c>
      <c r="G149" s="38">
        <f>SUM(G130:G148)</f>
        <v>211623.12</v>
      </c>
      <c r="H149" s="38">
        <f>SUM(H130:H148)</f>
        <v>255833</v>
      </c>
      <c r="I149" s="38">
        <f>SUM(I130:I148)</f>
        <v>272696</v>
      </c>
    </row>
    <row r="150" spans="1:9" x14ac:dyDescent="0.2">
      <c r="A150" s="238" t="s">
        <v>1433</v>
      </c>
      <c r="G150" s="10"/>
      <c r="H150" s="10"/>
      <c r="I150" s="10"/>
    </row>
    <row r="151" spans="1:9" x14ac:dyDescent="0.2">
      <c r="A151" s="251" t="s">
        <v>726</v>
      </c>
      <c r="B151" s="4" t="s">
        <v>145</v>
      </c>
      <c r="G151" s="10"/>
      <c r="H151" s="10"/>
      <c r="I151" s="10"/>
    </row>
    <row r="152" spans="1:9" x14ac:dyDescent="0.2">
      <c r="A152" s="245" t="s">
        <v>727</v>
      </c>
      <c r="B152" s="126" t="s">
        <v>1884</v>
      </c>
      <c r="C152" s="10">
        <v>192820.16</v>
      </c>
      <c r="D152" s="10">
        <v>196020.24</v>
      </c>
      <c r="E152" s="10">
        <v>199242</v>
      </c>
      <c r="F152" s="10">
        <v>204019.92</v>
      </c>
      <c r="G152" s="10">
        <v>212853.76000000001</v>
      </c>
      <c r="H152" s="166">
        <v>213620</v>
      </c>
      <c r="I152" s="166">
        <f>56075*4</f>
        <v>224300</v>
      </c>
    </row>
    <row r="153" spans="1:9" x14ac:dyDescent="0.2">
      <c r="A153" s="245" t="s">
        <v>728</v>
      </c>
      <c r="B153" s="126" t="s">
        <v>1885</v>
      </c>
      <c r="C153" s="10">
        <v>31976.1</v>
      </c>
      <c r="D153" s="10">
        <v>32776.120000000003</v>
      </c>
      <c r="E153" s="10">
        <v>34289.21</v>
      </c>
      <c r="F153" s="10">
        <v>35494.94</v>
      </c>
      <c r="G153" s="10">
        <v>37419.32</v>
      </c>
      <c r="H153" s="166">
        <v>38632</v>
      </c>
      <c r="I153" s="166">
        <v>40564</v>
      </c>
    </row>
    <row r="154" spans="1:9" x14ac:dyDescent="0.2">
      <c r="A154" s="245" t="s">
        <v>729</v>
      </c>
      <c r="B154" s="126" t="s">
        <v>1889</v>
      </c>
      <c r="C154" s="10">
        <v>477.65</v>
      </c>
      <c r="D154" s="10">
        <v>1633.71</v>
      </c>
      <c r="E154" s="10">
        <v>1968.61</v>
      </c>
      <c r="F154" s="10">
        <v>2268.66</v>
      </c>
      <c r="G154" s="10">
        <v>2667.68</v>
      </c>
      <c r="H154" s="166">
        <v>2880</v>
      </c>
      <c r="I154" s="166">
        <v>3180</v>
      </c>
    </row>
    <row r="155" spans="1:9" x14ac:dyDescent="0.2">
      <c r="A155" s="245" t="s">
        <v>730</v>
      </c>
      <c r="B155" s="126" t="s">
        <v>1891</v>
      </c>
      <c r="C155" s="10">
        <v>17749.97</v>
      </c>
      <c r="D155" s="10">
        <v>17724.63</v>
      </c>
      <c r="E155" s="10">
        <v>18184.61</v>
      </c>
      <c r="F155" s="10">
        <v>18951.810000000001</v>
      </c>
      <c r="G155" s="10">
        <v>20015.91</v>
      </c>
      <c r="H155" s="166">
        <v>21187</v>
      </c>
      <c r="I155" s="166">
        <v>22175</v>
      </c>
    </row>
    <row r="156" spans="1:9" x14ac:dyDescent="0.2">
      <c r="A156" s="245" t="s">
        <v>731</v>
      </c>
      <c r="B156" s="126" t="s">
        <v>1892</v>
      </c>
      <c r="C156" s="10">
        <v>26381.32</v>
      </c>
      <c r="D156" s="10">
        <v>27342.94</v>
      </c>
      <c r="E156" s="10">
        <v>28993.08</v>
      </c>
      <c r="F156" s="10">
        <v>30081</v>
      </c>
      <c r="G156" s="10">
        <v>31462.18</v>
      </c>
      <c r="H156" s="166">
        <v>31738</v>
      </c>
      <c r="I156" s="166">
        <v>36088</v>
      </c>
    </row>
    <row r="157" spans="1:9" x14ac:dyDescent="0.2">
      <c r="A157" s="245" t="s">
        <v>732</v>
      </c>
      <c r="B157" s="126" t="s">
        <v>1893</v>
      </c>
      <c r="C157" s="18">
        <v>26100</v>
      </c>
      <c r="D157" s="18">
        <v>31060</v>
      </c>
      <c r="E157" s="18">
        <v>31200</v>
      </c>
      <c r="F157" s="18">
        <v>31200</v>
      </c>
      <c r="G157" s="18">
        <v>31200</v>
      </c>
      <c r="H157" s="166">
        <v>39391</v>
      </c>
      <c r="I157" s="166">
        <v>31200</v>
      </c>
    </row>
    <row r="158" spans="1:9" x14ac:dyDescent="0.2">
      <c r="A158" s="245" t="s">
        <v>517</v>
      </c>
      <c r="B158" s="126" t="s">
        <v>1894</v>
      </c>
      <c r="C158" s="18">
        <v>21820.240000000002</v>
      </c>
      <c r="D158" s="18">
        <v>21820.240000000002</v>
      </c>
      <c r="E158" s="18">
        <v>21820.240000000002</v>
      </c>
      <c r="F158" s="18">
        <v>21820.240000000002</v>
      </c>
      <c r="G158" s="18">
        <v>22239.86</v>
      </c>
      <c r="H158" s="166">
        <v>21820.240000000002</v>
      </c>
      <c r="I158" s="166">
        <v>21820</v>
      </c>
    </row>
    <row r="159" spans="1:9" x14ac:dyDescent="0.2">
      <c r="A159" s="245" t="s">
        <v>682</v>
      </c>
      <c r="B159" s="126" t="s">
        <v>1895</v>
      </c>
      <c r="C159" s="10">
        <v>977.99</v>
      </c>
      <c r="D159" s="10">
        <v>1971.56</v>
      </c>
      <c r="E159" s="10">
        <v>1315.26</v>
      </c>
      <c r="F159" s="10">
        <v>1657.27</v>
      </c>
      <c r="G159" s="10">
        <v>1459.71</v>
      </c>
      <c r="H159" s="166">
        <v>3500</v>
      </c>
      <c r="I159" s="166">
        <f t="shared" ref="I159:I162" si="32">+H159</f>
        <v>3500</v>
      </c>
    </row>
    <row r="160" spans="1:9" x14ac:dyDescent="0.2">
      <c r="A160" s="245" t="s">
        <v>683</v>
      </c>
      <c r="B160" s="126" t="s">
        <v>1896</v>
      </c>
      <c r="C160" s="10">
        <v>17.03</v>
      </c>
      <c r="D160" s="10">
        <v>2.4500000000000002</v>
      </c>
      <c r="E160" s="10">
        <v>0.5</v>
      </c>
      <c r="F160" s="10">
        <v>1.54</v>
      </c>
      <c r="G160" s="10">
        <v>2.73</v>
      </c>
      <c r="H160" s="166">
        <v>200</v>
      </c>
      <c r="I160" s="166">
        <f t="shared" si="32"/>
        <v>200</v>
      </c>
    </row>
    <row r="161" spans="1:9" x14ac:dyDescent="0.2">
      <c r="A161" s="245" t="s">
        <v>684</v>
      </c>
      <c r="B161" s="126" t="s">
        <v>1897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66">
        <v>0</v>
      </c>
      <c r="I161" s="166">
        <f t="shared" si="32"/>
        <v>0</v>
      </c>
    </row>
    <row r="162" spans="1:9" x14ac:dyDescent="0.2">
      <c r="A162" s="245" t="s">
        <v>685</v>
      </c>
      <c r="B162" s="126" t="s">
        <v>1898</v>
      </c>
      <c r="C162" s="10">
        <v>17991.13</v>
      </c>
      <c r="D162" s="10">
        <v>15168.01</v>
      </c>
      <c r="E162" s="10">
        <v>7550.96</v>
      </c>
      <c r="F162" s="10">
        <v>12759.59</v>
      </c>
      <c r="G162" s="10">
        <v>14604.84</v>
      </c>
      <c r="H162" s="166">
        <v>18000</v>
      </c>
      <c r="I162" s="166">
        <f t="shared" si="32"/>
        <v>18000</v>
      </c>
    </row>
    <row r="163" spans="1:9" x14ac:dyDescent="0.2">
      <c r="A163" s="245" t="s">
        <v>686</v>
      </c>
      <c r="B163" s="126" t="s">
        <v>1899</v>
      </c>
      <c r="C163" s="10">
        <v>0</v>
      </c>
      <c r="D163" s="10">
        <v>712</v>
      </c>
      <c r="E163" s="10">
        <v>0</v>
      </c>
      <c r="F163" s="10">
        <v>712</v>
      </c>
      <c r="G163" s="10">
        <v>0</v>
      </c>
      <c r="H163" s="166">
        <v>712</v>
      </c>
      <c r="I163" s="166">
        <v>0</v>
      </c>
    </row>
    <row r="164" spans="1:9" x14ac:dyDescent="0.2">
      <c r="A164" s="245" t="s">
        <v>687</v>
      </c>
      <c r="B164" s="126" t="s">
        <v>1900</v>
      </c>
      <c r="C164" s="10">
        <v>316.95</v>
      </c>
      <c r="D164" s="10">
        <v>0</v>
      </c>
      <c r="E164" s="10">
        <v>0</v>
      </c>
      <c r="F164" s="10">
        <v>0</v>
      </c>
      <c r="G164" s="10">
        <v>0</v>
      </c>
      <c r="H164" s="166">
        <v>1500</v>
      </c>
      <c r="I164" s="166">
        <v>3500</v>
      </c>
    </row>
    <row r="165" spans="1:9" x14ac:dyDescent="0.2">
      <c r="A165" s="245"/>
      <c r="B165" s="6" t="s">
        <v>1118</v>
      </c>
      <c r="C165" s="38">
        <f t="shared" ref="C165:G165" si="33">SUM(C152:C164)</f>
        <v>336628.54000000004</v>
      </c>
      <c r="D165" s="38">
        <f t="shared" si="33"/>
        <v>346231.89999999997</v>
      </c>
      <c r="E165" s="38">
        <f t="shared" si="33"/>
        <v>344564.47000000003</v>
      </c>
      <c r="F165" s="38">
        <f t="shared" si="33"/>
        <v>358966.97000000003</v>
      </c>
      <c r="G165" s="38">
        <f t="shared" si="33"/>
        <v>373925.99</v>
      </c>
      <c r="H165" s="38">
        <f t="shared" ref="H165:I165" si="34">SUM(H152:H164)</f>
        <v>393180.24</v>
      </c>
      <c r="I165" s="38">
        <f t="shared" si="34"/>
        <v>404527</v>
      </c>
    </row>
    <row r="166" spans="1:9" x14ac:dyDescent="0.2">
      <c r="A166" s="245"/>
      <c r="B166" t="s">
        <v>1433</v>
      </c>
      <c r="C166" s="10"/>
      <c r="E166" s="10"/>
      <c r="G166" s="10"/>
      <c r="H166" s="10"/>
      <c r="I166" s="10"/>
    </row>
    <row r="167" spans="1:9" x14ac:dyDescent="0.2">
      <c r="A167" s="251" t="s">
        <v>688</v>
      </c>
      <c r="B167" s="4" t="s">
        <v>146</v>
      </c>
      <c r="G167" s="10"/>
      <c r="H167" s="10"/>
      <c r="I167" s="10"/>
    </row>
    <row r="168" spans="1:9" x14ac:dyDescent="0.2">
      <c r="A168" s="245" t="s">
        <v>689</v>
      </c>
      <c r="B168" s="126" t="s">
        <v>1884</v>
      </c>
      <c r="C168" s="10">
        <v>48435.92</v>
      </c>
      <c r="D168" s="10">
        <v>49235.94</v>
      </c>
      <c r="E168" s="10">
        <v>50033.440000000002</v>
      </c>
      <c r="F168" s="10">
        <v>51236.12</v>
      </c>
      <c r="G168" s="10">
        <v>53449.02</v>
      </c>
      <c r="H168" s="166">
        <v>53636</v>
      </c>
      <c r="I168" s="166">
        <v>56318</v>
      </c>
    </row>
    <row r="169" spans="1:9" x14ac:dyDescent="0.2">
      <c r="A169" s="245" t="s">
        <v>690</v>
      </c>
      <c r="B169" s="126" t="s">
        <v>1901</v>
      </c>
      <c r="C169" s="18">
        <v>219677.41</v>
      </c>
      <c r="D169" s="18">
        <v>220244.31</v>
      </c>
      <c r="E169" s="18">
        <v>224897.21</v>
      </c>
      <c r="F169" s="18">
        <v>234486.31</v>
      </c>
      <c r="G169" s="18">
        <v>250775.51</v>
      </c>
      <c r="H169" s="166">
        <v>256809</v>
      </c>
      <c r="I169" s="166">
        <f>38299+35528+33623+31853+31853+31853+31853+32428</f>
        <v>267290</v>
      </c>
    </row>
    <row r="170" spans="1:9" x14ac:dyDescent="0.2">
      <c r="A170" s="245" t="s">
        <v>1269</v>
      </c>
      <c r="B170" s="126" t="s">
        <v>1888</v>
      </c>
      <c r="C170" s="18">
        <v>10026.06</v>
      </c>
      <c r="D170" s="18">
        <v>10983.32</v>
      </c>
      <c r="E170" s="18">
        <v>14782.58</v>
      </c>
      <c r="F170" s="18">
        <v>13069.23</v>
      </c>
      <c r="G170" s="18">
        <v>15551.96</v>
      </c>
      <c r="H170" s="166">
        <v>21235</v>
      </c>
      <c r="I170" s="166">
        <v>22297</v>
      </c>
    </row>
    <row r="171" spans="1:9" x14ac:dyDescent="0.2">
      <c r="A171" s="245" t="s">
        <v>2523</v>
      </c>
      <c r="B171" s="126" t="s">
        <v>2525</v>
      </c>
      <c r="C171" s="18">
        <v>0</v>
      </c>
      <c r="D171" s="18">
        <v>0</v>
      </c>
      <c r="E171" s="18">
        <v>0</v>
      </c>
      <c r="F171" s="18">
        <v>0</v>
      </c>
      <c r="G171" s="18">
        <v>0</v>
      </c>
      <c r="H171" s="166">
        <v>2000</v>
      </c>
      <c r="I171" s="166">
        <v>2000</v>
      </c>
    </row>
    <row r="172" spans="1:9" x14ac:dyDescent="0.2">
      <c r="A172" s="245" t="s">
        <v>691</v>
      </c>
      <c r="B172" s="126" t="s">
        <v>1889</v>
      </c>
      <c r="C172" s="10">
        <v>3255.89</v>
      </c>
      <c r="D172" s="10">
        <v>3899.94</v>
      </c>
      <c r="E172" s="10">
        <v>3110.77</v>
      </c>
      <c r="F172" s="10">
        <v>3316.13</v>
      </c>
      <c r="G172" s="10">
        <v>3738.25</v>
      </c>
      <c r="H172" s="166">
        <v>3900</v>
      </c>
      <c r="I172" s="166">
        <v>2760</v>
      </c>
    </row>
    <row r="173" spans="1:9" x14ac:dyDescent="0.2">
      <c r="A173" s="245" t="s">
        <v>692</v>
      </c>
      <c r="B173" s="126" t="s">
        <v>1891</v>
      </c>
      <c r="C173" s="18">
        <v>20193.91</v>
      </c>
      <c r="D173" s="18">
        <v>20781.27</v>
      </c>
      <c r="E173" s="18">
        <v>21752.45</v>
      </c>
      <c r="F173" s="18">
        <v>22495.22</v>
      </c>
      <c r="G173" s="18">
        <v>24046.51</v>
      </c>
      <c r="H173" s="166">
        <v>25824.87</v>
      </c>
      <c r="I173" s="166">
        <f>28531-1706</f>
        <v>26825</v>
      </c>
    </row>
    <row r="174" spans="1:9" x14ac:dyDescent="0.2">
      <c r="A174" s="245" t="s">
        <v>693</v>
      </c>
      <c r="B174" s="126" t="s">
        <v>1892</v>
      </c>
      <c r="C174" s="18">
        <v>32764.32</v>
      </c>
      <c r="D174" s="18">
        <v>33593.51</v>
      </c>
      <c r="E174" s="18">
        <v>36046.31</v>
      </c>
      <c r="F174" s="18">
        <v>37563.74</v>
      </c>
      <c r="G174" s="18">
        <v>40238.339999999997</v>
      </c>
      <c r="H174" s="166">
        <v>41994.951999999997</v>
      </c>
      <c r="I174" s="166">
        <f>46434-2776</f>
        <v>43658</v>
      </c>
    </row>
    <row r="175" spans="1:9" x14ac:dyDescent="0.2">
      <c r="A175" s="245" t="s">
        <v>694</v>
      </c>
      <c r="B175" s="126" t="s">
        <v>1893</v>
      </c>
      <c r="C175" s="18">
        <v>51763.47</v>
      </c>
      <c r="D175" s="18">
        <v>54970</v>
      </c>
      <c r="E175" s="18">
        <v>50700</v>
      </c>
      <c r="F175" s="18">
        <v>54600</v>
      </c>
      <c r="G175" s="18">
        <v>50375</v>
      </c>
      <c r="H175" s="166">
        <v>63104</v>
      </c>
      <c r="I175" s="166">
        <v>62400</v>
      </c>
    </row>
    <row r="176" spans="1:9" x14ac:dyDescent="0.2">
      <c r="A176" s="248" t="s">
        <v>2615</v>
      </c>
      <c r="B176" s="126" t="s">
        <v>1906</v>
      </c>
      <c r="C176" s="18">
        <v>0</v>
      </c>
      <c r="D176" s="18">
        <v>0</v>
      </c>
      <c r="E176" s="18">
        <v>0</v>
      </c>
      <c r="F176" s="18">
        <v>0</v>
      </c>
      <c r="G176" s="18">
        <v>0</v>
      </c>
      <c r="H176" s="10">
        <v>0</v>
      </c>
      <c r="I176" s="10">
        <v>1500</v>
      </c>
    </row>
    <row r="177" spans="1:9" x14ac:dyDescent="0.2">
      <c r="A177" s="245" t="s">
        <v>695</v>
      </c>
      <c r="B177" s="126" t="s">
        <v>1895</v>
      </c>
      <c r="C177" s="18">
        <v>9802.64</v>
      </c>
      <c r="D177" s="18">
        <v>14999.11</v>
      </c>
      <c r="E177" s="18">
        <v>15655.06</v>
      </c>
      <c r="F177" s="18">
        <v>11485.82</v>
      </c>
      <c r="G177" s="18">
        <v>11128.48</v>
      </c>
      <c r="H177" s="166">
        <v>12000</v>
      </c>
      <c r="I177" s="166">
        <v>15000</v>
      </c>
    </row>
    <row r="178" spans="1:9" x14ac:dyDescent="0.2">
      <c r="A178" s="245" t="s">
        <v>696</v>
      </c>
      <c r="B178" s="126" t="s">
        <v>1896</v>
      </c>
      <c r="C178" s="10">
        <v>4366.17</v>
      </c>
      <c r="D178" s="10">
        <v>5470.78</v>
      </c>
      <c r="E178" s="10">
        <v>5395.35</v>
      </c>
      <c r="F178" s="10">
        <v>5433.03</v>
      </c>
      <c r="G178" s="10">
        <v>5752.99</v>
      </c>
      <c r="H178" s="166">
        <v>5500</v>
      </c>
      <c r="I178" s="166">
        <v>6500</v>
      </c>
    </row>
    <row r="179" spans="1:9" x14ac:dyDescent="0.2">
      <c r="A179" s="245" t="s">
        <v>2543</v>
      </c>
      <c r="B179" s="126" t="s">
        <v>1897</v>
      </c>
      <c r="C179" s="10">
        <v>0</v>
      </c>
      <c r="D179" s="10">
        <v>0</v>
      </c>
      <c r="E179" s="10">
        <v>246.32</v>
      </c>
      <c r="F179" s="10">
        <v>1052.01</v>
      </c>
      <c r="G179" s="10">
        <v>1433.12</v>
      </c>
      <c r="H179" s="166">
        <v>1700</v>
      </c>
      <c r="I179" s="166">
        <f t="shared" ref="I179:I183" si="35">+H179</f>
        <v>1700</v>
      </c>
    </row>
    <row r="180" spans="1:9" x14ac:dyDescent="0.2">
      <c r="A180" s="245" t="s">
        <v>697</v>
      </c>
      <c r="B180" s="126" t="s">
        <v>1898</v>
      </c>
      <c r="C180" s="10">
        <v>3183.28</v>
      </c>
      <c r="D180" s="10">
        <v>4087.77</v>
      </c>
      <c r="E180" s="10">
        <v>2969.53</v>
      </c>
      <c r="F180" s="10">
        <v>4578.6400000000003</v>
      </c>
      <c r="G180" s="10">
        <v>2054.4499999999998</v>
      </c>
      <c r="H180" s="166">
        <v>4400</v>
      </c>
      <c r="I180" s="166">
        <f t="shared" si="35"/>
        <v>4400</v>
      </c>
    </row>
    <row r="181" spans="1:9" x14ac:dyDescent="0.2">
      <c r="A181" s="245" t="s">
        <v>171</v>
      </c>
      <c r="B181" s="126" t="s">
        <v>2513</v>
      </c>
      <c r="C181" s="18">
        <v>53382.54</v>
      </c>
      <c r="D181" s="18">
        <v>57790.87</v>
      </c>
      <c r="E181" s="18">
        <v>60843.22</v>
      </c>
      <c r="F181" s="18">
        <v>49652.12</v>
      </c>
      <c r="G181" s="18">
        <v>84888.12</v>
      </c>
      <c r="H181" s="166">
        <v>77000</v>
      </c>
      <c r="I181" s="166">
        <v>77000</v>
      </c>
    </row>
    <row r="182" spans="1:9" x14ac:dyDescent="0.2">
      <c r="A182" s="245" t="s">
        <v>53</v>
      </c>
      <c r="B182" s="126" t="s">
        <v>1902</v>
      </c>
      <c r="C182" s="10">
        <v>1681.77</v>
      </c>
      <c r="D182" s="10">
        <v>1906.86</v>
      </c>
      <c r="E182" s="10">
        <v>1868.43</v>
      </c>
      <c r="F182" s="10">
        <v>2399.13</v>
      </c>
      <c r="G182" s="10">
        <v>4795.83</v>
      </c>
      <c r="H182" s="166">
        <v>2000</v>
      </c>
      <c r="I182" s="166">
        <v>2500</v>
      </c>
    </row>
    <row r="183" spans="1:9" x14ac:dyDescent="0.2">
      <c r="A183" s="245" t="s">
        <v>698</v>
      </c>
      <c r="B183" s="126" t="s">
        <v>1903</v>
      </c>
      <c r="C183" s="18">
        <v>150</v>
      </c>
      <c r="D183" s="18">
        <v>0</v>
      </c>
      <c r="E183" s="18">
        <v>0</v>
      </c>
      <c r="F183" s="18">
        <v>0</v>
      </c>
      <c r="G183" s="18">
        <v>0</v>
      </c>
      <c r="H183" s="166">
        <v>1000</v>
      </c>
      <c r="I183" s="166">
        <f t="shared" si="35"/>
        <v>1000</v>
      </c>
    </row>
    <row r="184" spans="1:9" x14ac:dyDescent="0.2">
      <c r="A184" s="245" t="s">
        <v>699</v>
      </c>
      <c r="B184" s="126" t="s">
        <v>1899</v>
      </c>
      <c r="C184" s="10">
        <v>0</v>
      </c>
      <c r="D184" s="10">
        <v>2325</v>
      </c>
      <c r="E184" s="10">
        <v>0</v>
      </c>
      <c r="F184" s="10">
        <v>0</v>
      </c>
      <c r="G184" s="10">
        <v>0</v>
      </c>
      <c r="H184" s="166">
        <v>3000</v>
      </c>
      <c r="I184" s="166">
        <v>0</v>
      </c>
    </row>
    <row r="185" spans="1:9" x14ac:dyDescent="0.2">
      <c r="A185" s="245" t="s">
        <v>700</v>
      </c>
      <c r="B185" s="126" t="s">
        <v>1900</v>
      </c>
      <c r="C185" s="18">
        <v>796.28</v>
      </c>
      <c r="D185" s="18">
        <v>0</v>
      </c>
      <c r="E185" s="18">
        <v>953.77</v>
      </c>
      <c r="F185" s="18">
        <v>3044.41</v>
      </c>
      <c r="G185" s="18">
        <v>0</v>
      </c>
      <c r="H185" s="166">
        <v>2000</v>
      </c>
      <c r="I185" s="166">
        <v>3000</v>
      </c>
    </row>
    <row r="186" spans="1:9" x14ac:dyDescent="0.2">
      <c r="A186" s="245"/>
      <c r="B186" s="6" t="s">
        <v>1118</v>
      </c>
      <c r="C186" s="38">
        <f t="shared" ref="C186:G186" si="36">SUM(C168:C185)</f>
        <v>459479.66000000003</v>
      </c>
      <c r="D186" s="38">
        <f t="shared" si="36"/>
        <v>480288.68000000005</v>
      </c>
      <c r="E186" s="38">
        <f t="shared" si="36"/>
        <v>489254.44000000012</v>
      </c>
      <c r="F186" s="38">
        <f t="shared" si="36"/>
        <v>494411.91000000003</v>
      </c>
      <c r="G186" s="38">
        <f t="shared" si="36"/>
        <v>548227.57999999996</v>
      </c>
      <c r="H186" s="38">
        <f t="shared" ref="H186:I186" si="37">SUM(H168:H185)</f>
        <v>577103.82199999993</v>
      </c>
      <c r="I186" s="38">
        <f t="shared" si="37"/>
        <v>596148</v>
      </c>
    </row>
    <row r="187" spans="1:9" x14ac:dyDescent="0.2">
      <c r="A187" s="245"/>
      <c r="B187" s="4" t="s">
        <v>653</v>
      </c>
      <c r="C187" s="1"/>
      <c r="D187" s="112"/>
      <c r="E187" s="1"/>
      <c r="F187" s="112"/>
      <c r="G187" s="222"/>
      <c r="H187" s="112"/>
      <c r="I187" s="112"/>
    </row>
    <row r="188" spans="1:9" x14ac:dyDescent="0.2">
      <c r="A188" s="245"/>
      <c r="B188" s="4" t="s">
        <v>980</v>
      </c>
      <c r="C188" s="1"/>
      <c r="D188" s="112"/>
      <c r="E188" s="1"/>
      <c r="F188" s="112"/>
      <c r="G188" s="222"/>
      <c r="H188" s="112"/>
      <c r="I188" s="112"/>
    </row>
    <row r="189" spans="1:9" x14ac:dyDescent="0.2">
      <c r="A189" s="245"/>
      <c r="B189" s="4" t="s">
        <v>138</v>
      </c>
      <c r="C189" s="1"/>
      <c r="D189" s="112"/>
      <c r="E189" s="1"/>
      <c r="F189" s="112"/>
      <c r="G189" s="222"/>
      <c r="H189" s="112"/>
      <c r="I189" s="112"/>
    </row>
    <row r="190" spans="1:9" x14ac:dyDescent="0.2">
      <c r="A190" s="245"/>
      <c r="C190" s="7" t="str">
        <f>+$C$4</f>
        <v>2018 ACTUAL</v>
      </c>
      <c r="D190" s="129" t="str">
        <f t="shared" ref="D190:I190" si="38">+D$4</f>
        <v>2019 ACTUAL</v>
      </c>
      <c r="E190" s="7" t="str">
        <f t="shared" si="38"/>
        <v>2020 ACTUAL</v>
      </c>
      <c r="F190" s="129" t="str">
        <f t="shared" si="38"/>
        <v>2021 ACTUAL</v>
      </c>
      <c r="G190" s="223" t="str">
        <f t="shared" si="38"/>
        <v>2022 ACTUAL</v>
      </c>
      <c r="H190" s="129" t="str">
        <f t="shared" si="38"/>
        <v xml:space="preserve">2023 BUDGET </v>
      </c>
      <c r="I190" s="129" t="str">
        <f t="shared" si="38"/>
        <v xml:space="preserve">2024 BUDGET </v>
      </c>
    </row>
    <row r="191" spans="1:9" x14ac:dyDescent="0.2">
      <c r="A191" s="251" t="s">
        <v>701</v>
      </c>
      <c r="B191" s="4" t="s">
        <v>147</v>
      </c>
      <c r="G191" s="115"/>
      <c r="H191" s="10"/>
      <c r="I191" s="10"/>
    </row>
    <row r="192" spans="1:9" x14ac:dyDescent="0.2">
      <c r="A192" s="245" t="s">
        <v>702</v>
      </c>
      <c r="B192" s="126" t="s">
        <v>1904</v>
      </c>
      <c r="C192" s="10">
        <v>32695</v>
      </c>
      <c r="D192" s="10">
        <v>34232.120000000003</v>
      </c>
      <c r="E192" s="10">
        <v>35029.06</v>
      </c>
      <c r="F192" s="10">
        <v>36232.04</v>
      </c>
      <c r="G192" s="10">
        <v>31280.79</v>
      </c>
      <c r="H192" s="10">
        <v>39387</v>
      </c>
      <c r="I192" s="10">
        <v>37581</v>
      </c>
    </row>
    <row r="193" spans="1:9" x14ac:dyDescent="0.2">
      <c r="A193" s="245" t="s">
        <v>2524</v>
      </c>
      <c r="B193" s="126" t="s">
        <v>2525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100</v>
      </c>
      <c r="I193" s="10"/>
    </row>
    <row r="194" spans="1:9" x14ac:dyDescent="0.2">
      <c r="A194" s="245" t="s">
        <v>703</v>
      </c>
      <c r="B194" s="126" t="s">
        <v>1889</v>
      </c>
      <c r="C194" s="10">
        <v>0</v>
      </c>
      <c r="D194" s="10">
        <v>230.75</v>
      </c>
      <c r="E194" s="10">
        <v>297.73</v>
      </c>
      <c r="F194" s="10">
        <v>357.79</v>
      </c>
      <c r="G194" s="10">
        <v>159.19999999999999</v>
      </c>
      <c r="H194" s="10">
        <v>0</v>
      </c>
      <c r="I194" s="10">
        <v>0</v>
      </c>
    </row>
    <row r="195" spans="1:9" x14ac:dyDescent="0.2">
      <c r="A195" s="245" t="s">
        <v>704</v>
      </c>
      <c r="B195" s="126" t="s">
        <v>1891</v>
      </c>
      <c r="C195" s="10">
        <v>2475.58</v>
      </c>
      <c r="D195" s="10">
        <v>2558.9899999999998</v>
      </c>
      <c r="E195" s="10">
        <v>2639.85</v>
      </c>
      <c r="F195" s="10">
        <v>2744.22</v>
      </c>
      <c r="G195" s="10">
        <v>2366.27</v>
      </c>
      <c r="H195" s="10">
        <v>3020.7554999999998</v>
      </c>
      <c r="I195" s="10">
        <f>SUM(I192:I194)*0.0765</f>
        <v>2874.9465</v>
      </c>
    </row>
    <row r="196" spans="1:9" x14ac:dyDescent="0.2">
      <c r="A196" s="245" t="s">
        <v>705</v>
      </c>
      <c r="B196" s="126" t="s">
        <v>1892</v>
      </c>
      <c r="C196" s="10">
        <v>3828.86</v>
      </c>
      <c r="D196" s="10">
        <v>4089.68</v>
      </c>
      <c r="E196" s="10">
        <v>4351.7700000000004</v>
      </c>
      <c r="F196" s="10">
        <v>4552.08</v>
      </c>
      <c r="G196" s="10">
        <v>3497.75</v>
      </c>
      <c r="H196" s="10">
        <v>4912.1827999999996</v>
      </c>
      <c r="I196" s="10">
        <v>4679</v>
      </c>
    </row>
    <row r="197" spans="1:9" x14ac:dyDescent="0.2">
      <c r="A197" s="245" t="s">
        <v>706</v>
      </c>
      <c r="B197" s="126" t="s">
        <v>1893</v>
      </c>
      <c r="C197" s="18">
        <v>0</v>
      </c>
      <c r="D197" s="18">
        <v>5850</v>
      </c>
      <c r="E197" s="18">
        <v>7800</v>
      </c>
      <c r="F197" s="18">
        <v>7800</v>
      </c>
      <c r="G197" s="18">
        <v>2600</v>
      </c>
      <c r="H197" s="10">
        <v>78</v>
      </c>
      <c r="I197" s="10">
        <v>0</v>
      </c>
    </row>
    <row r="198" spans="1:9" x14ac:dyDescent="0.2">
      <c r="A198" s="245" t="s">
        <v>695</v>
      </c>
      <c r="B198" s="126" t="s">
        <v>1895</v>
      </c>
      <c r="C198" s="18">
        <v>0</v>
      </c>
      <c r="D198" s="18">
        <v>0</v>
      </c>
      <c r="E198" s="18">
        <v>0</v>
      </c>
      <c r="F198" s="18">
        <v>0</v>
      </c>
      <c r="G198" s="18">
        <v>259.70999999999998</v>
      </c>
      <c r="H198" s="10">
        <v>0</v>
      </c>
      <c r="I198" s="10">
        <v>300</v>
      </c>
    </row>
    <row r="199" spans="1:9" x14ac:dyDescent="0.2">
      <c r="A199" s="245" t="s">
        <v>708</v>
      </c>
      <c r="B199" s="126" t="s">
        <v>1898</v>
      </c>
      <c r="C199" s="18">
        <v>0</v>
      </c>
      <c r="D199" s="18">
        <v>817.28</v>
      </c>
      <c r="E199" s="18">
        <v>759.36</v>
      </c>
      <c r="F199" s="18">
        <v>1698.48</v>
      </c>
      <c r="G199" s="18">
        <v>437.59</v>
      </c>
      <c r="H199" s="10">
        <v>1950</v>
      </c>
      <c r="I199" s="10">
        <f t="shared" ref="I199:I201" si="39">+H199</f>
        <v>1950</v>
      </c>
    </row>
    <row r="200" spans="1:9" x14ac:dyDescent="0.2">
      <c r="A200" s="245" t="s">
        <v>1672</v>
      </c>
      <c r="B200" s="126" t="s">
        <v>1900</v>
      </c>
      <c r="C200" s="10">
        <v>93.6</v>
      </c>
      <c r="D200" s="10">
        <v>239.62</v>
      </c>
      <c r="E200" s="10">
        <v>342.48</v>
      </c>
      <c r="F200" s="10">
        <v>139.99</v>
      </c>
      <c r="G200" s="10">
        <v>1963.84</v>
      </c>
      <c r="H200" s="10">
        <v>1000</v>
      </c>
      <c r="I200" s="10">
        <f t="shared" si="39"/>
        <v>1000</v>
      </c>
    </row>
    <row r="201" spans="1:9" x14ac:dyDescent="0.2">
      <c r="A201" s="248" t="s">
        <v>1798</v>
      </c>
      <c r="B201" s="126" t="s">
        <v>1930</v>
      </c>
      <c r="C201" s="10">
        <v>449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f t="shared" si="39"/>
        <v>0</v>
      </c>
    </row>
    <row r="202" spans="1:9" x14ac:dyDescent="0.2">
      <c r="A202" s="245"/>
      <c r="B202" s="6" t="s">
        <v>1118</v>
      </c>
      <c r="C202" s="38">
        <f t="shared" ref="C202:G202" si="40">SUM(C192:C201)</f>
        <v>39542.04</v>
      </c>
      <c r="D202" s="38">
        <f t="shared" si="40"/>
        <v>48018.44</v>
      </c>
      <c r="E202" s="38">
        <f t="shared" si="40"/>
        <v>51220.250000000007</v>
      </c>
      <c r="F202" s="38">
        <f t="shared" si="40"/>
        <v>53524.600000000006</v>
      </c>
      <c r="G202" s="38">
        <f t="shared" si="40"/>
        <v>42565.149999999994</v>
      </c>
      <c r="H202" s="38">
        <f t="shared" ref="H202:I202" si="41">SUM(H192:H201)</f>
        <v>50447.938300000002</v>
      </c>
      <c r="I202" s="38">
        <f t="shared" si="41"/>
        <v>48384.946499999998</v>
      </c>
    </row>
    <row r="203" spans="1:9" ht="9" customHeight="1" x14ac:dyDescent="0.2">
      <c r="A203" s="245"/>
      <c r="B203" s="6"/>
      <c r="C203" s="8"/>
      <c r="E203" s="8"/>
      <c r="G203" s="10"/>
      <c r="H203" s="10"/>
      <c r="I203" s="10"/>
    </row>
    <row r="204" spans="1:9" x14ac:dyDescent="0.2">
      <c r="A204" s="251" t="s">
        <v>709</v>
      </c>
      <c r="B204" s="4" t="s">
        <v>148</v>
      </c>
      <c r="G204" s="10"/>
      <c r="H204" s="10"/>
      <c r="I204" s="10"/>
    </row>
    <row r="205" spans="1:9" x14ac:dyDescent="0.2">
      <c r="A205" s="245" t="s">
        <v>710</v>
      </c>
      <c r="B205" s="126" t="s">
        <v>1905</v>
      </c>
      <c r="C205" s="10">
        <v>44868.2</v>
      </c>
      <c r="D205" s="10">
        <v>42852.93</v>
      </c>
      <c r="E205" s="10">
        <v>44628.97</v>
      </c>
      <c r="F205" s="10">
        <v>45660.94</v>
      </c>
      <c r="G205" s="10">
        <v>47766.66</v>
      </c>
      <c r="H205" s="10">
        <v>48061</v>
      </c>
      <c r="I205" s="10">
        <v>51505</v>
      </c>
    </row>
    <row r="206" spans="1:9" x14ac:dyDescent="0.2">
      <c r="A206" s="245" t="s">
        <v>711</v>
      </c>
      <c r="B206" s="126" t="s">
        <v>1901</v>
      </c>
      <c r="C206" s="10">
        <v>50820.38</v>
      </c>
      <c r="D206" s="10">
        <v>51256.19</v>
      </c>
      <c r="E206" s="10">
        <v>47226.21</v>
      </c>
      <c r="F206" s="10">
        <v>48697.34</v>
      </c>
      <c r="G206" s="10">
        <v>61061.22</v>
      </c>
      <c r="H206" s="10">
        <v>62330</v>
      </c>
      <c r="I206" s="10">
        <f>36879+33018+32428</f>
        <v>102325</v>
      </c>
    </row>
    <row r="207" spans="1:9" x14ac:dyDescent="0.2">
      <c r="A207" s="245" t="s">
        <v>2544</v>
      </c>
      <c r="B207" s="126" t="s">
        <v>2431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16744</v>
      </c>
      <c r="I207" s="10">
        <v>20782</v>
      </c>
    </row>
    <row r="208" spans="1:9" x14ac:dyDescent="0.2">
      <c r="A208" s="245" t="s">
        <v>2526</v>
      </c>
      <c r="B208" s="126" t="s">
        <v>2525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4500</v>
      </c>
      <c r="I208" s="10">
        <v>7000</v>
      </c>
    </row>
    <row r="209" spans="1:9" x14ac:dyDescent="0.2">
      <c r="A209" s="245" t="s">
        <v>712</v>
      </c>
      <c r="B209" s="126" t="s">
        <v>1889</v>
      </c>
      <c r="C209" s="10">
        <v>0</v>
      </c>
      <c r="D209" s="10">
        <v>286.11</v>
      </c>
      <c r="E209" s="10">
        <v>216.95</v>
      </c>
      <c r="F209" s="10">
        <v>173</v>
      </c>
      <c r="G209" s="10">
        <v>246.9</v>
      </c>
      <c r="H209" s="10">
        <v>480</v>
      </c>
      <c r="I209" s="10">
        <v>600</v>
      </c>
    </row>
    <row r="210" spans="1:9" x14ac:dyDescent="0.2">
      <c r="A210" s="245" t="s">
        <v>713</v>
      </c>
      <c r="B210" s="126" t="s">
        <v>1891</v>
      </c>
      <c r="C210" s="10">
        <v>7735.72</v>
      </c>
      <c r="D210" s="10">
        <v>9521.7800000000007</v>
      </c>
      <c r="E210" s="10">
        <v>9611.9599999999991</v>
      </c>
      <c r="F210" s="10">
        <v>13348.4</v>
      </c>
      <c r="G210" s="10">
        <v>12544.7</v>
      </c>
      <c r="H210" s="10">
        <v>10143.5175</v>
      </c>
      <c r="I210" s="10">
        <v>13976</v>
      </c>
    </row>
    <row r="211" spans="1:9" x14ac:dyDescent="0.2">
      <c r="A211" s="245" t="s">
        <v>1184</v>
      </c>
      <c r="B211" s="126" t="s">
        <v>1892</v>
      </c>
      <c r="C211" s="10">
        <v>11243.36</v>
      </c>
      <c r="D211" s="10">
        <v>11114.28</v>
      </c>
      <c r="E211" s="10">
        <v>10978.7</v>
      </c>
      <c r="F211" s="10">
        <v>11761.37</v>
      </c>
      <c r="G211" s="10">
        <v>13568.97</v>
      </c>
      <c r="H211" s="10">
        <v>16435.106</v>
      </c>
      <c r="I211" s="10">
        <v>22745</v>
      </c>
    </row>
    <row r="212" spans="1:9" x14ac:dyDescent="0.2">
      <c r="A212" s="245" t="s">
        <v>1185</v>
      </c>
      <c r="B212" s="126" t="s">
        <v>1893</v>
      </c>
      <c r="C212" s="18">
        <v>20880</v>
      </c>
      <c r="D212" s="18">
        <v>19720</v>
      </c>
      <c r="E212" s="18">
        <v>20800</v>
      </c>
      <c r="F212" s="18">
        <v>19500</v>
      </c>
      <c r="G212" s="18">
        <v>23400</v>
      </c>
      <c r="H212" s="10">
        <v>23635</v>
      </c>
      <c r="I212" s="10">
        <v>31200</v>
      </c>
    </row>
    <row r="213" spans="1:9" x14ac:dyDescent="0.2">
      <c r="A213" s="248" t="s">
        <v>1810</v>
      </c>
      <c r="B213" s="126" t="s">
        <v>1906</v>
      </c>
      <c r="C213" s="18">
        <v>0</v>
      </c>
      <c r="D213" s="18">
        <v>0</v>
      </c>
      <c r="E213" s="18">
        <v>568.42999999999995</v>
      </c>
      <c r="F213" s="18">
        <v>443.18</v>
      </c>
      <c r="G213" s="18">
        <v>1482.93</v>
      </c>
      <c r="H213" s="10">
        <v>2500</v>
      </c>
      <c r="I213" s="10">
        <v>2500</v>
      </c>
    </row>
    <row r="214" spans="1:9" x14ac:dyDescent="0.2">
      <c r="A214" s="245" t="s">
        <v>1186</v>
      </c>
      <c r="B214" s="126" t="s">
        <v>1895</v>
      </c>
      <c r="C214" s="18">
        <v>5800.96</v>
      </c>
      <c r="D214" s="18">
        <v>4327.47</v>
      </c>
      <c r="E214" s="18">
        <v>2041.91</v>
      </c>
      <c r="F214" s="18">
        <v>2870.44</v>
      </c>
      <c r="G214" s="18">
        <v>4906.66</v>
      </c>
      <c r="H214" s="10">
        <v>4500</v>
      </c>
      <c r="I214" s="10">
        <v>5000</v>
      </c>
    </row>
    <row r="215" spans="1:9" x14ac:dyDescent="0.2">
      <c r="A215" s="245" t="s">
        <v>1187</v>
      </c>
      <c r="B215" s="126" t="s">
        <v>1896</v>
      </c>
      <c r="C215" s="18">
        <v>16377.18</v>
      </c>
      <c r="D215" s="18">
        <v>4491.47</v>
      </c>
      <c r="E215" s="18">
        <v>17366.45</v>
      </c>
      <c r="F215" s="18">
        <v>8118.5</v>
      </c>
      <c r="G215" s="18">
        <v>17632.32</v>
      </c>
      <c r="H215" s="10">
        <v>8000</v>
      </c>
      <c r="I215" s="10">
        <v>22500</v>
      </c>
    </row>
    <row r="216" spans="1:9" x14ac:dyDescent="0.2">
      <c r="A216" s="245" t="s">
        <v>1188</v>
      </c>
      <c r="B216" s="126" t="s">
        <v>1907</v>
      </c>
      <c r="C216" s="18">
        <v>6455.08</v>
      </c>
      <c r="D216" s="18">
        <v>3927.65</v>
      </c>
      <c r="E216" s="18">
        <v>5031.08</v>
      </c>
      <c r="F216" s="18">
        <v>8092.11</v>
      </c>
      <c r="G216" s="18">
        <v>18550.240000000002</v>
      </c>
      <c r="H216" s="10">
        <v>8000</v>
      </c>
      <c r="I216" s="10">
        <v>15000</v>
      </c>
    </row>
    <row r="217" spans="1:9" x14ac:dyDescent="0.2">
      <c r="A217" s="245" t="s">
        <v>1189</v>
      </c>
      <c r="B217" s="126" t="s">
        <v>1897</v>
      </c>
      <c r="C217" s="18">
        <v>480</v>
      </c>
      <c r="D217" s="18">
        <v>400</v>
      </c>
      <c r="E217" s="18">
        <v>480</v>
      </c>
      <c r="F217" s="18">
        <v>480</v>
      </c>
      <c r="G217" s="18">
        <v>480</v>
      </c>
      <c r="H217" s="10">
        <v>480</v>
      </c>
      <c r="I217" s="10">
        <f t="shared" ref="I217:I221" si="42">+H217</f>
        <v>480</v>
      </c>
    </row>
    <row r="218" spans="1:9" x14ac:dyDescent="0.2">
      <c r="A218" s="245" t="s">
        <v>1190</v>
      </c>
      <c r="B218" s="126" t="s">
        <v>1898</v>
      </c>
      <c r="C218" s="18">
        <v>3820.7</v>
      </c>
      <c r="D218" s="18">
        <v>4930.2</v>
      </c>
      <c r="E218" s="18">
        <v>3487.73</v>
      </c>
      <c r="F218" s="18">
        <v>4698.63</v>
      </c>
      <c r="G218" s="18">
        <v>2751.94</v>
      </c>
      <c r="H218" s="10">
        <v>8000</v>
      </c>
      <c r="I218" s="10">
        <v>6000</v>
      </c>
    </row>
    <row r="219" spans="1:9" x14ac:dyDescent="0.2">
      <c r="A219" s="245" t="s">
        <v>1191</v>
      </c>
      <c r="B219" s="126" t="s">
        <v>1899</v>
      </c>
      <c r="C219" s="10">
        <v>50</v>
      </c>
      <c r="D219" s="10">
        <v>50</v>
      </c>
      <c r="E219" s="10">
        <v>50</v>
      </c>
      <c r="F219" s="10">
        <v>50</v>
      </c>
      <c r="G219" s="10">
        <v>0</v>
      </c>
      <c r="H219" s="10">
        <v>50</v>
      </c>
      <c r="I219" s="10">
        <f t="shared" si="42"/>
        <v>50</v>
      </c>
    </row>
    <row r="220" spans="1:9" x14ac:dyDescent="0.2">
      <c r="A220" s="245" t="s">
        <v>818</v>
      </c>
      <c r="B220" s="126" t="s">
        <v>1908</v>
      </c>
      <c r="C220" s="10"/>
      <c r="E220" s="10"/>
      <c r="G220" s="10"/>
      <c r="H220" s="10">
        <v>0</v>
      </c>
      <c r="I220" s="10">
        <f t="shared" si="42"/>
        <v>0</v>
      </c>
    </row>
    <row r="221" spans="1:9" x14ac:dyDescent="0.2">
      <c r="A221" s="245" t="s">
        <v>830</v>
      </c>
      <c r="B221" s="126" t="s">
        <v>1909</v>
      </c>
      <c r="C221" s="18">
        <v>0</v>
      </c>
      <c r="D221" s="18">
        <v>0</v>
      </c>
      <c r="E221" s="18">
        <v>0</v>
      </c>
      <c r="F221" s="18">
        <v>0</v>
      </c>
      <c r="G221" s="18">
        <v>0</v>
      </c>
      <c r="H221" s="10">
        <v>0</v>
      </c>
      <c r="I221" s="10">
        <f t="shared" si="42"/>
        <v>0</v>
      </c>
    </row>
    <row r="222" spans="1:9" x14ac:dyDescent="0.2">
      <c r="A222" s="245" t="s">
        <v>1192</v>
      </c>
      <c r="B222" s="126" t="s">
        <v>1910</v>
      </c>
      <c r="C222" s="10">
        <v>29377.759999999998</v>
      </c>
      <c r="D222" s="10">
        <v>54068.7</v>
      </c>
      <c r="E222" s="10">
        <v>90388.56</v>
      </c>
      <c r="F222" s="10">
        <v>88038.82</v>
      </c>
      <c r="G222" s="10">
        <v>79609.36</v>
      </c>
      <c r="H222" s="10">
        <v>95760</v>
      </c>
      <c r="I222" s="10">
        <v>100000</v>
      </c>
    </row>
    <row r="223" spans="1:9" x14ac:dyDescent="0.2">
      <c r="A223" s="245" t="s">
        <v>819</v>
      </c>
      <c r="B223" s="126" t="s">
        <v>1837</v>
      </c>
      <c r="C223" s="10">
        <v>12024.17</v>
      </c>
      <c r="D223" s="10">
        <v>5140.49</v>
      </c>
      <c r="E223" s="10">
        <v>12378.76</v>
      </c>
      <c r="F223" s="10">
        <v>5860</v>
      </c>
      <c r="G223" s="10">
        <v>13641.67</v>
      </c>
      <c r="H223" s="10">
        <v>19000</v>
      </c>
      <c r="I223" s="10">
        <v>15000</v>
      </c>
    </row>
    <row r="224" spans="1:9" x14ac:dyDescent="0.2">
      <c r="A224" s="245" t="s">
        <v>1193</v>
      </c>
      <c r="B224" s="126" t="s">
        <v>1900</v>
      </c>
      <c r="C224" s="10">
        <v>36326.33</v>
      </c>
      <c r="D224" s="10">
        <v>20476.79</v>
      </c>
      <c r="E224" s="10">
        <v>25270.2</v>
      </c>
      <c r="F224" s="10">
        <v>645000</v>
      </c>
      <c r="G224" s="10">
        <v>13620</v>
      </c>
      <c r="H224" s="10">
        <v>19000</v>
      </c>
      <c r="I224" s="10">
        <v>34664</v>
      </c>
    </row>
    <row r="225" spans="1:9" x14ac:dyDescent="0.2">
      <c r="A225" s="245" t="s">
        <v>1194</v>
      </c>
      <c r="B225" s="126" t="s">
        <v>1911</v>
      </c>
      <c r="C225" s="37">
        <v>0</v>
      </c>
      <c r="D225" s="37">
        <v>0</v>
      </c>
      <c r="E225" s="37">
        <v>0</v>
      </c>
      <c r="F225" s="37">
        <v>0</v>
      </c>
      <c r="G225" s="37">
        <v>37671</v>
      </c>
      <c r="H225" s="12">
        <v>49000</v>
      </c>
      <c r="I225" s="12">
        <v>51336</v>
      </c>
    </row>
    <row r="226" spans="1:9" x14ac:dyDescent="0.2">
      <c r="A226" s="245"/>
      <c r="B226" s="6" t="s">
        <v>1118</v>
      </c>
      <c r="C226" s="12">
        <f t="shared" ref="C226:G226" si="43">SUM(C205:C225)</f>
        <v>246259.83999999997</v>
      </c>
      <c r="D226" s="12">
        <f t="shared" si="43"/>
        <v>232564.05999999997</v>
      </c>
      <c r="E226" s="12">
        <f t="shared" si="43"/>
        <v>290525.90999999997</v>
      </c>
      <c r="F226" s="12">
        <f t="shared" si="43"/>
        <v>902792.73</v>
      </c>
      <c r="G226" s="12">
        <f t="shared" si="43"/>
        <v>348934.56999999995</v>
      </c>
      <c r="H226" s="12">
        <f t="shared" ref="H226:I226" si="44">SUM(H205:H225)</f>
        <v>396618.62349999999</v>
      </c>
      <c r="I226" s="12">
        <f t="shared" si="44"/>
        <v>502663</v>
      </c>
    </row>
    <row r="227" spans="1:9" ht="6" customHeight="1" x14ac:dyDescent="0.2">
      <c r="A227" s="245"/>
      <c r="B227" s="6"/>
      <c r="C227" s="8"/>
      <c r="E227" s="8"/>
      <c r="G227" s="115"/>
      <c r="H227" s="10"/>
      <c r="I227" s="10"/>
    </row>
    <row r="228" spans="1:9" x14ac:dyDescent="0.2">
      <c r="A228" s="245"/>
      <c r="B228" s="4" t="s">
        <v>653</v>
      </c>
      <c r="C228" s="1" t="s">
        <v>1433</v>
      </c>
      <c r="D228" s="112"/>
      <c r="E228" s="1" t="s">
        <v>1433</v>
      </c>
      <c r="F228" s="112" t="s">
        <v>1433</v>
      </c>
      <c r="G228" s="222" t="s">
        <v>1433</v>
      </c>
      <c r="H228" s="112" t="s">
        <v>1433</v>
      </c>
      <c r="I228" s="112" t="s">
        <v>1433</v>
      </c>
    </row>
    <row r="229" spans="1:9" x14ac:dyDescent="0.2">
      <c r="A229" s="245"/>
      <c r="B229" s="4" t="s">
        <v>980</v>
      </c>
      <c r="C229" s="1" t="s">
        <v>1433</v>
      </c>
      <c r="D229" s="112"/>
      <c r="E229" s="1" t="s">
        <v>1433</v>
      </c>
      <c r="F229" s="112" t="s">
        <v>1433</v>
      </c>
      <c r="G229" s="222" t="s">
        <v>1433</v>
      </c>
      <c r="H229" s="112" t="s">
        <v>1433</v>
      </c>
      <c r="I229" s="112" t="s">
        <v>1433</v>
      </c>
    </row>
    <row r="230" spans="1:9" x14ac:dyDescent="0.2">
      <c r="A230" s="245"/>
      <c r="B230" s="4" t="s">
        <v>138</v>
      </c>
      <c r="C230" s="1" t="s">
        <v>1433</v>
      </c>
      <c r="D230" s="112" t="s">
        <v>1433</v>
      </c>
      <c r="E230" s="1" t="s">
        <v>1433</v>
      </c>
      <c r="F230" s="112" t="s">
        <v>1433</v>
      </c>
      <c r="G230" s="222" t="s">
        <v>1433</v>
      </c>
      <c r="H230" s="112" t="s">
        <v>1433</v>
      </c>
      <c r="I230" s="112" t="s">
        <v>1433</v>
      </c>
    </row>
    <row r="231" spans="1:9" x14ac:dyDescent="0.2">
      <c r="A231" s="245"/>
      <c r="C231" s="7" t="str">
        <f>+$C$4</f>
        <v>2018 ACTUAL</v>
      </c>
      <c r="D231" s="129" t="str">
        <f t="shared" ref="D231:I231" si="45">+D$4</f>
        <v>2019 ACTUAL</v>
      </c>
      <c r="E231" s="7" t="str">
        <f t="shared" si="45"/>
        <v>2020 ACTUAL</v>
      </c>
      <c r="F231" s="129" t="str">
        <f t="shared" si="45"/>
        <v>2021 ACTUAL</v>
      </c>
      <c r="G231" s="223" t="str">
        <f t="shared" si="45"/>
        <v>2022 ACTUAL</v>
      </c>
      <c r="H231" s="129" t="str">
        <f t="shared" si="45"/>
        <v xml:space="preserve">2023 BUDGET </v>
      </c>
      <c r="I231" s="129" t="str">
        <f t="shared" si="45"/>
        <v xml:space="preserve">2024 BUDGET </v>
      </c>
    </row>
    <row r="232" spans="1:9" x14ac:dyDescent="0.2">
      <c r="A232" s="251" t="s">
        <v>1195</v>
      </c>
      <c r="B232" s="4" t="s">
        <v>149</v>
      </c>
      <c r="G232" s="115"/>
      <c r="H232" s="10"/>
      <c r="I232" s="10"/>
    </row>
    <row r="233" spans="1:9" x14ac:dyDescent="0.2">
      <c r="A233" s="245" t="s">
        <v>1292</v>
      </c>
      <c r="B233" s="126" t="s">
        <v>1912</v>
      </c>
      <c r="C233" s="18">
        <v>0</v>
      </c>
      <c r="D233" s="18">
        <v>0</v>
      </c>
      <c r="E233" s="18">
        <v>0</v>
      </c>
      <c r="F233" s="18">
        <v>0</v>
      </c>
      <c r="G233" s="219">
        <v>0</v>
      </c>
      <c r="H233" s="10">
        <v>0</v>
      </c>
      <c r="I233" s="10">
        <f t="shared" ref="I233:I261" si="46">+H233</f>
        <v>0</v>
      </c>
    </row>
    <row r="234" spans="1:9" x14ac:dyDescent="0.2">
      <c r="A234" s="245" t="s">
        <v>1196</v>
      </c>
      <c r="B234" s="126" t="s">
        <v>1893</v>
      </c>
      <c r="C234" s="18">
        <v>850000</v>
      </c>
      <c r="D234" s="18">
        <v>600000</v>
      </c>
      <c r="E234" s="18">
        <v>600000</v>
      </c>
      <c r="F234" s="18">
        <v>300000</v>
      </c>
      <c r="G234" s="18">
        <v>1050000</v>
      </c>
      <c r="H234" s="10">
        <v>900000</v>
      </c>
      <c r="I234" s="10">
        <v>1000000</v>
      </c>
    </row>
    <row r="235" spans="1:9" x14ac:dyDescent="0.2">
      <c r="A235" s="245" t="s">
        <v>1197</v>
      </c>
      <c r="B235" s="126" t="s">
        <v>1913</v>
      </c>
      <c r="C235" s="10">
        <v>144271</v>
      </c>
      <c r="D235" s="10">
        <v>142451</v>
      </c>
      <c r="E235" s="10">
        <v>153685</v>
      </c>
      <c r="F235" s="10">
        <v>138775</v>
      </c>
      <c r="G235" s="10">
        <v>146269.38</v>
      </c>
      <c r="H235" s="10">
        <v>150000</v>
      </c>
      <c r="I235" s="10">
        <f t="shared" si="46"/>
        <v>150000</v>
      </c>
    </row>
    <row r="236" spans="1:9" x14ac:dyDescent="0.2">
      <c r="A236" s="245" t="s">
        <v>1198</v>
      </c>
      <c r="B236" s="126" t="s">
        <v>1914</v>
      </c>
      <c r="C236" s="18">
        <v>33419.01</v>
      </c>
      <c r="D236" s="18">
        <v>9954.8700000000008</v>
      </c>
      <c r="E236" s="18">
        <v>56144.76</v>
      </c>
      <c r="F236" s="18">
        <v>10917.26</v>
      </c>
      <c r="G236" s="18">
        <v>36189.129999999997</v>
      </c>
      <c r="H236" s="10">
        <v>33000</v>
      </c>
      <c r="I236" s="10">
        <f t="shared" si="46"/>
        <v>33000</v>
      </c>
    </row>
    <row r="237" spans="1:9" x14ac:dyDescent="0.2">
      <c r="A237" s="245" t="s">
        <v>1199</v>
      </c>
      <c r="B237" s="126" t="s">
        <v>1915</v>
      </c>
      <c r="C237" s="18">
        <v>563132.54</v>
      </c>
      <c r="D237" s="18">
        <v>701133.61</v>
      </c>
      <c r="E237" s="18">
        <v>616633.16</v>
      </c>
      <c r="F237" s="18">
        <v>648564.25</v>
      </c>
      <c r="G237" s="18">
        <v>468832.72</v>
      </c>
      <c r="H237" s="10">
        <v>702000</v>
      </c>
      <c r="I237" s="10">
        <v>760000</v>
      </c>
    </row>
    <row r="238" spans="1:9" x14ac:dyDescent="0.2">
      <c r="A238" s="247" t="s">
        <v>1584</v>
      </c>
      <c r="B238" s="126" t="s">
        <v>1916</v>
      </c>
      <c r="C238" s="18">
        <v>0</v>
      </c>
      <c r="D238" s="18">
        <v>0</v>
      </c>
      <c r="E238" s="18">
        <v>0</v>
      </c>
      <c r="F238" s="18">
        <v>0</v>
      </c>
      <c r="G238" s="18">
        <v>0</v>
      </c>
      <c r="H238" s="10">
        <v>50000</v>
      </c>
      <c r="I238" s="10">
        <f t="shared" si="46"/>
        <v>50000</v>
      </c>
    </row>
    <row r="239" spans="1:9" x14ac:dyDescent="0.2">
      <c r="A239" s="245" t="s">
        <v>1200</v>
      </c>
      <c r="B239" s="126" t="s">
        <v>1917</v>
      </c>
      <c r="C239" s="18">
        <v>4745.6099999999997</v>
      </c>
      <c r="D239" s="18">
        <v>4525.59</v>
      </c>
      <c r="E239" s="18">
        <v>2756</v>
      </c>
      <c r="F239" s="18">
        <v>5817.06</v>
      </c>
      <c r="G239" s="18">
        <v>3425.38</v>
      </c>
      <c r="H239" s="10">
        <v>6000</v>
      </c>
      <c r="I239" s="10">
        <v>7000</v>
      </c>
    </row>
    <row r="240" spans="1:9" x14ac:dyDescent="0.2">
      <c r="A240" s="245" t="s">
        <v>1201</v>
      </c>
      <c r="B240" s="126" t="s">
        <v>1918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f t="shared" si="46"/>
        <v>0</v>
      </c>
    </row>
    <row r="241" spans="1:9" x14ac:dyDescent="0.2">
      <c r="A241" s="245" t="s">
        <v>1330</v>
      </c>
      <c r="B241" s="126" t="s">
        <v>1919</v>
      </c>
      <c r="C241" s="10">
        <v>4989.1499999999996</v>
      </c>
      <c r="D241" s="10">
        <v>2959.89</v>
      </c>
      <c r="E241" s="10">
        <v>4905.7</v>
      </c>
      <c r="F241" s="10">
        <v>2423.41</v>
      </c>
      <c r="G241" s="10">
        <v>755.4</v>
      </c>
      <c r="H241" s="10">
        <v>5000</v>
      </c>
      <c r="I241" s="10">
        <f>+H241+(1700*12)</f>
        <v>25400</v>
      </c>
    </row>
    <row r="242" spans="1:9" x14ac:dyDescent="0.2">
      <c r="A242" s="245" t="s">
        <v>364</v>
      </c>
      <c r="B242" s="126" t="s">
        <v>1897</v>
      </c>
      <c r="C242" s="18">
        <v>107140.31</v>
      </c>
      <c r="D242" s="18">
        <v>103143.61</v>
      </c>
      <c r="E242" s="18">
        <v>86204.77</v>
      </c>
      <c r="F242" s="18">
        <v>95226.46</v>
      </c>
      <c r="G242" s="18">
        <v>95669.1</v>
      </c>
      <c r="H242" s="10">
        <v>110000</v>
      </c>
      <c r="I242" s="10">
        <f t="shared" si="46"/>
        <v>110000</v>
      </c>
    </row>
    <row r="243" spans="1:9" x14ac:dyDescent="0.2">
      <c r="A243" s="245" t="s">
        <v>1657</v>
      </c>
      <c r="B243" s="126" t="s">
        <v>1728</v>
      </c>
      <c r="C243" s="18">
        <v>50000</v>
      </c>
      <c r="D243" s="18">
        <v>150000</v>
      </c>
      <c r="E243" s="18">
        <v>100000</v>
      </c>
      <c r="F243" s="18">
        <v>50000</v>
      </c>
      <c r="G243" s="18">
        <v>50000</v>
      </c>
      <c r="H243" s="10">
        <v>50000</v>
      </c>
      <c r="I243" s="10">
        <f t="shared" si="46"/>
        <v>50000</v>
      </c>
    </row>
    <row r="244" spans="1:9" x14ac:dyDescent="0.2">
      <c r="A244" s="245" t="s">
        <v>365</v>
      </c>
      <c r="B244" s="126" t="s">
        <v>1920</v>
      </c>
      <c r="C244" s="10">
        <v>14324.5</v>
      </c>
      <c r="D244" s="10">
        <v>18925.75</v>
      </c>
      <c r="E244" s="10">
        <v>23321</v>
      </c>
      <c r="F244" s="10">
        <v>28354.75</v>
      </c>
      <c r="G244" s="10">
        <v>36000</v>
      </c>
      <c r="H244" s="10">
        <v>25000</v>
      </c>
      <c r="I244" s="10">
        <v>50000</v>
      </c>
    </row>
    <row r="245" spans="1:9" x14ac:dyDescent="0.2">
      <c r="A245" s="245" t="s">
        <v>366</v>
      </c>
      <c r="B245" s="126" t="s">
        <v>1921</v>
      </c>
      <c r="C245" s="10">
        <v>5643.71</v>
      </c>
      <c r="D245" s="10">
        <v>6621.2</v>
      </c>
      <c r="E245" s="10">
        <v>4767.29</v>
      </c>
      <c r="F245" s="10">
        <v>4098.88</v>
      </c>
      <c r="G245" s="10">
        <v>10726.05</v>
      </c>
      <c r="H245" s="10">
        <v>10000</v>
      </c>
      <c r="I245" s="10">
        <v>12000</v>
      </c>
    </row>
    <row r="246" spans="1:9" x14ac:dyDescent="0.2">
      <c r="A246" s="245" t="s">
        <v>367</v>
      </c>
      <c r="B246" s="126" t="s">
        <v>1922</v>
      </c>
      <c r="C246" s="10">
        <v>42636.32</v>
      </c>
      <c r="D246" s="10">
        <v>59035.77</v>
      </c>
      <c r="E246" s="10">
        <v>44484.39</v>
      </c>
      <c r="F246" s="10">
        <v>52433.7</v>
      </c>
      <c r="G246" s="10">
        <v>57700.59</v>
      </c>
      <c r="H246" s="10">
        <v>74000</v>
      </c>
      <c r="I246" s="10">
        <v>86000</v>
      </c>
    </row>
    <row r="247" spans="1:9" x14ac:dyDescent="0.2">
      <c r="A247" s="245" t="s">
        <v>519</v>
      </c>
      <c r="B247" s="126" t="s">
        <v>1923</v>
      </c>
      <c r="C247" s="10">
        <v>174.5</v>
      </c>
      <c r="D247" s="10">
        <v>-63.04</v>
      </c>
      <c r="E247" s="10">
        <v>0</v>
      </c>
      <c r="F247" s="10">
        <v>-889.86</v>
      </c>
      <c r="G247" s="10">
        <v>889.86</v>
      </c>
      <c r="H247" s="10">
        <v>0</v>
      </c>
      <c r="I247" s="10">
        <f t="shared" si="46"/>
        <v>0</v>
      </c>
    </row>
    <row r="248" spans="1:9" x14ac:dyDescent="0.2">
      <c r="A248" s="245" t="s">
        <v>1136</v>
      </c>
      <c r="B248" s="126" t="s">
        <v>1924</v>
      </c>
      <c r="C248" s="10">
        <v>306000.5</v>
      </c>
      <c r="D248" s="10">
        <v>311839.5</v>
      </c>
      <c r="E248" s="10">
        <v>327914</v>
      </c>
      <c r="F248" s="10">
        <v>337513.25</v>
      </c>
      <c r="G248" s="10">
        <v>387624.74</v>
      </c>
      <c r="H248" s="10">
        <v>395000</v>
      </c>
      <c r="I248" s="10">
        <v>425000</v>
      </c>
    </row>
    <row r="249" spans="1:9" x14ac:dyDescent="0.2">
      <c r="A249" s="245" t="s">
        <v>998</v>
      </c>
      <c r="B249" s="126" t="s">
        <v>1925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f t="shared" si="46"/>
        <v>0</v>
      </c>
    </row>
    <row r="250" spans="1:9" x14ac:dyDescent="0.2">
      <c r="A250" s="245" t="s">
        <v>1137</v>
      </c>
      <c r="B250" s="126" t="s">
        <v>1926</v>
      </c>
      <c r="C250" s="10">
        <v>1560</v>
      </c>
      <c r="D250" s="10">
        <v>1560</v>
      </c>
      <c r="E250" s="10">
        <v>1560</v>
      </c>
      <c r="F250" s="10">
        <v>1560</v>
      </c>
      <c r="G250" s="10">
        <v>1560</v>
      </c>
      <c r="H250" s="10">
        <v>1600</v>
      </c>
      <c r="I250" s="10">
        <f t="shared" si="46"/>
        <v>1600</v>
      </c>
    </row>
    <row r="251" spans="1:9" x14ac:dyDescent="0.2">
      <c r="A251" s="245" t="s">
        <v>1414</v>
      </c>
      <c r="B251" s="126" t="s">
        <v>1927</v>
      </c>
      <c r="C251" s="10">
        <v>1800</v>
      </c>
      <c r="D251" s="10">
        <v>1800</v>
      </c>
      <c r="E251" s="10">
        <v>1800</v>
      </c>
      <c r="F251" s="10">
        <v>2160</v>
      </c>
      <c r="G251" s="10">
        <v>2160</v>
      </c>
      <c r="H251" s="10">
        <v>2200</v>
      </c>
      <c r="I251" s="10">
        <v>2600</v>
      </c>
    </row>
    <row r="252" spans="1:9" x14ac:dyDescent="0.2">
      <c r="A252" s="245" t="s">
        <v>1415</v>
      </c>
      <c r="B252" s="126" t="s">
        <v>1928</v>
      </c>
      <c r="C252" s="10">
        <v>9845</v>
      </c>
      <c r="D252" s="10">
        <v>9845</v>
      </c>
      <c r="E252" s="10">
        <v>9845</v>
      </c>
      <c r="F252" s="10">
        <v>9845</v>
      </c>
      <c r="G252" s="10">
        <v>9974</v>
      </c>
      <c r="H252" s="10">
        <v>10000</v>
      </c>
      <c r="I252" s="10">
        <v>11000</v>
      </c>
    </row>
    <row r="253" spans="1:9" x14ac:dyDescent="0.2">
      <c r="A253" s="245" t="s">
        <v>1808</v>
      </c>
      <c r="B253" s="126" t="s">
        <v>1929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f t="shared" si="46"/>
        <v>0</v>
      </c>
    </row>
    <row r="254" spans="1:9" x14ac:dyDescent="0.2">
      <c r="A254" s="245" t="s">
        <v>1416</v>
      </c>
      <c r="B254" s="126" t="s">
        <v>1900</v>
      </c>
      <c r="C254" s="10">
        <v>41330.51</v>
      </c>
      <c r="D254" s="10">
        <v>46074.62</v>
      </c>
      <c r="E254" s="10">
        <v>52198.19</v>
      </c>
      <c r="F254" s="10">
        <v>52907.77</v>
      </c>
      <c r="G254" s="10">
        <v>39099.839999999997</v>
      </c>
      <c r="H254" s="10">
        <v>55000</v>
      </c>
      <c r="I254" s="10">
        <v>89000</v>
      </c>
    </row>
    <row r="255" spans="1:9" x14ac:dyDescent="0.2">
      <c r="A255" s="245" t="s">
        <v>1417</v>
      </c>
      <c r="B255" s="126" t="s">
        <v>1930</v>
      </c>
      <c r="C255" s="10">
        <v>318654.40999999997</v>
      </c>
      <c r="D255" s="10">
        <v>403985.03</v>
      </c>
      <c r="E255" s="10">
        <v>363220.85</v>
      </c>
      <c r="F255" s="10">
        <v>378407.3</v>
      </c>
      <c r="G255" s="10">
        <v>446791.69</v>
      </c>
      <c r="H255" s="10">
        <v>613000</v>
      </c>
      <c r="I255" s="10">
        <v>786000</v>
      </c>
    </row>
    <row r="256" spans="1:9" x14ac:dyDescent="0.2">
      <c r="A256" s="245" t="s">
        <v>1418</v>
      </c>
      <c r="B256" s="126" t="s">
        <v>1931</v>
      </c>
      <c r="C256" s="10">
        <v>0</v>
      </c>
      <c r="D256" s="10">
        <v>0</v>
      </c>
      <c r="E256" s="10">
        <v>385.36</v>
      </c>
      <c r="F256" s="10">
        <v>0</v>
      </c>
      <c r="G256" s="10">
        <v>0</v>
      </c>
      <c r="H256" s="10">
        <v>1000</v>
      </c>
      <c r="I256" s="10">
        <f t="shared" si="46"/>
        <v>1000</v>
      </c>
    </row>
    <row r="257" spans="1:9" x14ac:dyDescent="0.2">
      <c r="A257" s="245" t="s">
        <v>1419</v>
      </c>
      <c r="B257" s="126" t="s">
        <v>1932</v>
      </c>
      <c r="C257" s="18">
        <v>183999.96</v>
      </c>
      <c r="D257" s="18">
        <v>183999.96</v>
      </c>
      <c r="E257" s="18">
        <v>203999.94</v>
      </c>
      <c r="F257" s="18">
        <v>223999.92</v>
      </c>
      <c r="G257" s="18">
        <v>223999.92</v>
      </c>
      <c r="H257" s="18">
        <v>224000</v>
      </c>
      <c r="I257" s="18">
        <f t="shared" si="46"/>
        <v>224000</v>
      </c>
    </row>
    <row r="258" spans="1:9" x14ac:dyDescent="0.2">
      <c r="A258" s="245" t="s">
        <v>1658</v>
      </c>
      <c r="B258" s="126" t="s">
        <v>1933</v>
      </c>
      <c r="C258" s="18">
        <v>0</v>
      </c>
      <c r="D258" s="18">
        <v>0</v>
      </c>
      <c r="E258" s="18">
        <v>0</v>
      </c>
      <c r="F258" s="18">
        <v>0</v>
      </c>
      <c r="G258" s="18">
        <v>0</v>
      </c>
      <c r="H258" s="10">
        <v>0</v>
      </c>
      <c r="I258" s="10">
        <f t="shared" si="46"/>
        <v>0</v>
      </c>
    </row>
    <row r="259" spans="1:9" x14ac:dyDescent="0.2">
      <c r="A259" s="245" t="s">
        <v>1420</v>
      </c>
      <c r="B259" s="126" t="s">
        <v>1934</v>
      </c>
      <c r="C259" s="18">
        <v>178890</v>
      </c>
      <c r="D259" s="18">
        <v>235702.5</v>
      </c>
      <c r="E259" s="18">
        <v>223820</v>
      </c>
      <c r="F259" s="18">
        <v>224928</v>
      </c>
      <c r="G259" s="18">
        <v>245064</v>
      </c>
      <c r="H259" s="10">
        <v>230000</v>
      </c>
      <c r="I259" s="10">
        <v>250000</v>
      </c>
    </row>
    <row r="260" spans="1:9" x14ac:dyDescent="0.2">
      <c r="A260" s="245" t="s">
        <v>1331</v>
      </c>
      <c r="B260" s="126" t="s">
        <v>1935</v>
      </c>
      <c r="C260" s="18">
        <v>217</v>
      </c>
      <c r="D260" s="18">
        <v>365</v>
      </c>
      <c r="E260" s="18">
        <v>0</v>
      </c>
      <c r="F260" s="18">
        <v>0</v>
      </c>
      <c r="G260" s="18">
        <v>0</v>
      </c>
      <c r="H260" s="10">
        <v>0</v>
      </c>
      <c r="I260" s="10">
        <f t="shared" si="46"/>
        <v>0</v>
      </c>
    </row>
    <row r="261" spans="1:9" x14ac:dyDescent="0.2">
      <c r="A261" s="245" t="s">
        <v>54</v>
      </c>
      <c r="B261" s="126" t="s">
        <v>1936</v>
      </c>
      <c r="C261" s="18">
        <v>119589.92</v>
      </c>
      <c r="D261" s="18">
        <v>33970.01</v>
      </c>
      <c r="E261" s="18">
        <v>52502.65</v>
      </c>
      <c r="F261" s="18">
        <v>143883.26999999999</v>
      </c>
      <c r="G261" s="18">
        <v>8430.8799999999992</v>
      </c>
      <c r="H261" s="10">
        <v>15000</v>
      </c>
      <c r="I261" s="10">
        <f t="shared" si="46"/>
        <v>15000</v>
      </c>
    </row>
    <row r="262" spans="1:9" x14ac:dyDescent="0.2">
      <c r="A262" s="245"/>
      <c r="B262" s="6" t="s">
        <v>1118</v>
      </c>
      <c r="C262" s="38">
        <f t="shared" ref="C262:G262" si="47">SUM(C233:C261)</f>
        <v>2982363.95</v>
      </c>
      <c r="D262" s="38">
        <f t="shared" si="47"/>
        <v>3027829.87</v>
      </c>
      <c r="E262" s="38">
        <f t="shared" si="47"/>
        <v>2930148.0599999996</v>
      </c>
      <c r="F262" s="38">
        <f t="shared" si="47"/>
        <v>2710925.4199999995</v>
      </c>
      <c r="G262" s="38">
        <f t="shared" si="47"/>
        <v>3321162.6799999992</v>
      </c>
      <c r="H262" s="38">
        <f t="shared" ref="H262:I262" si="48">SUM(H233:H261)</f>
        <v>3661800</v>
      </c>
      <c r="I262" s="38">
        <f t="shared" si="48"/>
        <v>4138600</v>
      </c>
    </row>
    <row r="263" spans="1:9" x14ac:dyDescent="0.2">
      <c r="A263" s="245"/>
      <c r="B263" s="6"/>
      <c r="C263" s="10"/>
      <c r="E263" s="10"/>
      <c r="G263" s="10"/>
      <c r="H263" s="10"/>
      <c r="I263" s="10"/>
    </row>
    <row r="264" spans="1:9" x14ac:dyDescent="0.2">
      <c r="A264" s="251" t="s">
        <v>1421</v>
      </c>
      <c r="B264" s="4" t="s">
        <v>850</v>
      </c>
      <c r="G264" s="10"/>
      <c r="H264" s="10"/>
      <c r="I264" s="10"/>
    </row>
    <row r="265" spans="1:9" x14ac:dyDescent="0.2">
      <c r="A265" s="245" t="s">
        <v>1422</v>
      </c>
      <c r="B265" s="126" t="s">
        <v>1884</v>
      </c>
      <c r="C265" s="10">
        <v>152981.92000000001</v>
      </c>
      <c r="D265" s="10">
        <v>152981.92199999999</v>
      </c>
      <c r="E265" s="10">
        <v>165294.53</v>
      </c>
      <c r="F265" s="10">
        <v>165342.06</v>
      </c>
      <c r="G265" s="10">
        <v>168521.72</v>
      </c>
      <c r="H265" s="10">
        <v>165342</v>
      </c>
      <c r="I265" s="10">
        <v>179342</v>
      </c>
    </row>
    <row r="266" spans="1:9" x14ac:dyDescent="0.2">
      <c r="A266" s="245" t="s">
        <v>1423</v>
      </c>
      <c r="B266" s="126" t="s">
        <v>1957</v>
      </c>
      <c r="C266" s="10">
        <v>57112.38</v>
      </c>
      <c r="D266" s="10">
        <v>61464.05</v>
      </c>
      <c r="E266" s="10">
        <v>63300.99</v>
      </c>
      <c r="F266" s="10">
        <v>68885.960000000006</v>
      </c>
      <c r="G266" s="10">
        <v>73406.080000000002</v>
      </c>
      <c r="H266" s="10">
        <v>74423</v>
      </c>
      <c r="I266" s="10">
        <f>40564+37581</f>
        <v>78145</v>
      </c>
    </row>
    <row r="267" spans="1:9" x14ac:dyDescent="0.2">
      <c r="A267" s="245" t="s">
        <v>1424</v>
      </c>
      <c r="B267" s="126" t="s">
        <v>1958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f t="shared" ref="I267:I274" si="49">+H267</f>
        <v>0</v>
      </c>
    </row>
    <row r="268" spans="1:9" x14ac:dyDescent="0.2">
      <c r="A268" s="245" t="s">
        <v>1520</v>
      </c>
      <c r="B268" s="126" t="s">
        <v>1959</v>
      </c>
      <c r="C268" s="10">
        <v>17447.830000000002</v>
      </c>
      <c r="D268" s="10">
        <v>14468.86</v>
      </c>
      <c r="E268" s="10">
        <v>10394.5</v>
      </c>
      <c r="F268" s="10">
        <v>13003.63</v>
      </c>
      <c r="G268" s="10">
        <v>15483.5</v>
      </c>
      <c r="H268" s="10">
        <v>22737</v>
      </c>
      <c r="I268" s="10">
        <v>23874</v>
      </c>
    </row>
    <row r="269" spans="1:9" x14ac:dyDescent="0.2">
      <c r="A269" s="245" t="s">
        <v>1521</v>
      </c>
      <c r="B269" s="126" t="s">
        <v>1889</v>
      </c>
      <c r="C269" s="10">
        <v>0</v>
      </c>
      <c r="D269" s="10">
        <v>346</v>
      </c>
      <c r="E269" s="10">
        <v>475.34</v>
      </c>
      <c r="F269" s="10">
        <v>595.46</v>
      </c>
      <c r="G269" s="10">
        <v>743.28</v>
      </c>
      <c r="H269" s="10">
        <v>840</v>
      </c>
      <c r="I269" s="10">
        <v>480</v>
      </c>
    </row>
    <row r="270" spans="1:9" x14ac:dyDescent="0.2">
      <c r="A270" s="245" t="s">
        <v>952</v>
      </c>
      <c r="B270" s="126" t="s">
        <v>1891</v>
      </c>
      <c r="C270" s="10">
        <v>15264.04</v>
      </c>
      <c r="D270" s="10">
        <v>15435.23</v>
      </c>
      <c r="E270" s="10">
        <v>16278.77</v>
      </c>
      <c r="F270" s="10">
        <v>16609.88</v>
      </c>
      <c r="G270" s="10">
        <v>17684.97</v>
      </c>
      <c r="H270" s="10">
        <v>20579</v>
      </c>
      <c r="I270" s="10">
        <v>21994</v>
      </c>
    </row>
    <row r="271" spans="1:9" x14ac:dyDescent="0.2">
      <c r="A271" s="245" t="s">
        <v>953</v>
      </c>
      <c r="B271" s="126" t="s">
        <v>1892</v>
      </c>
      <c r="C271" s="10">
        <v>26644.61</v>
      </c>
      <c r="D271" s="10">
        <v>27200.19</v>
      </c>
      <c r="E271" s="10">
        <v>29474.7</v>
      </c>
      <c r="F271" s="10">
        <v>30830.2</v>
      </c>
      <c r="G271" s="10">
        <v>32113.43</v>
      </c>
      <c r="H271" s="10">
        <v>33464</v>
      </c>
      <c r="I271" s="10">
        <v>35794</v>
      </c>
    </row>
    <row r="272" spans="1:9" x14ac:dyDescent="0.2">
      <c r="A272" s="245" t="s">
        <v>954</v>
      </c>
      <c r="B272" s="126" t="s">
        <v>1893</v>
      </c>
      <c r="C272" s="18">
        <v>20631.84</v>
      </c>
      <c r="D272" s="18">
        <v>23021.84</v>
      </c>
      <c r="E272" s="18">
        <v>23141.08</v>
      </c>
      <c r="F272" s="18">
        <v>23142</v>
      </c>
      <c r="G272" s="18">
        <v>23142</v>
      </c>
      <c r="H272" s="10">
        <v>23635</v>
      </c>
      <c r="I272" s="10">
        <v>23400</v>
      </c>
    </row>
    <row r="273" spans="1:9" x14ac:dyDescent="0.2">
      <c r="A273" s="245" t="s">
        <v>955</v>
      </c>
      <c r="B273" s="126" t="s">
        <v>1895</v>
      </c>
      <c r="C273" s="10">
        <v>2163.4</v>
      </c>
      <c r="D273" s="10">
        <v>855.38</v>
      </c>
      <c r="E273" s="10">
        <v>868.02</v>
      </c>
      <c r="F273" s="10">
        <v>1244.96</v>
      </c>
      <c r="G273" s="10">
        <v>1323.17</v>
      </c>
      <c r="H273" s="10">
        <v>2500</v>
      </c>
      <c r="I273" s="10">
        <f t="shared" si="49"/>
        <v>2500</v>
      </c>
    </row>
    <row r="274" spans="1:9" x14ac:dyDescent="0.2">
      <c r="A274" s="245" t="s">
        <v>956</v>
      </c>
      <c r="B274" s="126" t="s">
        <v>1896</v>
      </c>
      <c r="C274" s="10">
        <v>737.89</v>
      </c>
      <c r="D274" s="10">
        <v>1199.93</v>
      </c>
      <c r="E274" s="10">
        <v>232.5</v>
      </c>
      <c r="F274" s="10">
        <v>729</v>
      </c>
      <c r="G274" s="10">
        <v>490.61</v>
      </c>
      <c r="H274" s="10">
        <v>750</v>
      </c>
      <c r="I274" s="10">
        <f t="shared" si="49"/>
        <v>750</v>
      </c>
    </row>
    <row r="275" spans="1:9" x14ac:dyDescent="0.2">
      <c r="A275" s="245" t="s">
        <v>957</v>
      </c>
      <c r="B275" s="126" t="s">
        <v>1898</v>
      </c>
      <c r="C275" s="10">
        <v>680.9</v>
      </c>
      <c r="D275" s="10">
        <v>2831.03</v>
      </c>
      <c r="E275" s="10">
        <v>150</v>
      </c>
      <c r="F275" s="10">
        <v>1619.32</v>
      </c>
      <c r="G275" s="10">
        <v>75</v>
      </c>
      <c r="H275" s="10">
        <v>4600</v>
      </c>
      <c r="I275" s="10">
        <v>6400</v>
      </c>
    </row>
    <row r="276" spans="1:9" x14ac:dyDescent="0.2">
      <c r="A276" s="245" t="s">
        <v>958</v>
      </c>
      <c r="B276" s="126" t="s">
        <v>1899</v>
      </c>
      <c r="C276" s="10">
        <v>297</v>
      </c>
      <c r="D276" s="10">
        <v>1243</v>
      </c>
      <c r="E276" s="10">
        <v>0</v>
      </c>
      <c r="F276" s="10">
        <v>0</v>
      </c>
      <c r="G276" s="10">
        <v>0</v>
      </c>
      <c r="H276" s="10">
        <v>1243</v>
      </c>
      <c r="I276" s="10">
        <v>0</v>
      </c>
    </row>
    <row r="277" spans="1:9" x14ac:dyDescent="0.2">
      <c r="A277" s="245" t="s">
        <v>959</v>
      </c>
      <c r="B277" s="126" t="s">
        <v>1900</v>
      </c>
      <c r="C277" s="18">
        <v>258.02</v>
      </c>
      <c r="D277" s="18">
        <v>1062.8499999999999</v>
      </c>
      <c r="E277" s="18">
        <v>229.99</v>
      </c>
      <c r="F277" s="18">
        <v>14000</v>
      </c>
      <c r="G277" s="18">
        <v>1657.93</v>
      </c>
      <c r="H277" s="10">
        <v>2000</v>
      </c>
      <c r="I277" s="10">
        <v>2000</v>
      </c>
    </row>
    <row r="278" spans="1:9" x14ac:dyDescent="0.2">
      <c r="A278" s="245"/>
      <c r="B278" s="6" t="s">
        <v>1118</v>
      </c>
      <c r="C278" s="38">
        <f t="shared" ref="C278:G278" si="50">SUM(C265:C277)</f>
        <v>294219.83000000013</v>
      </c>
      <c r="D278" s="38">
        <f t="shared" si="50"/>
        <v>302110.28200000001</v>
      </c>
      <c r="E278" s="38">
        <f t="shared" si="50"/>
        <v>309840.42</v>
      </c>
      <c r="F278" s="38">
        <f t="shared" si="50"/>
        <v>336002.47000000003</v>
      </c>
      <c r="G278" s="38">
        <f t="shared" si="50"/>
        <v>334641.68999999994</v>
      </c>
      <c r="H278" s="38">
        <f t="shared" ref="H278:I278" si="51">SUM(H265:H277)</f>
        <v>352113</v>
      </c>
      <c r="I278" s="38">
        <f t="shared" si="51"/>
        <v>374679</v>
      </c>
    </row>
    <row r="279" spans="1:9" x14ac:dyDescent="0.2">
      <c r="A279" s="245"/>
      <c r="B279" s="6"/>
      <c r="C279" s="8"/>
      <c r="E279" s="8"/>
      <c r="G279" s="115"/>
      <c r="H279" s="10"/>
      <c r="I279" s="10"/>
    </row>
    <row r="280" spans="1:9" x14ac:dyDescent="0.2">
      <c r="A280" s="245"/>
      <c r="B280" s="4" t="s">
        <v>653</v>
      </c>
      <c r="C280" s="1" t="s">
        <v>1433</v>
      </c>
      <c r="D280" s="112" t="s">
        <v>1433</v>
      </c>
      <c r="E280" s="1" t="s">
        <v>1433</v>
      </c>
      <c r="F280" s="112" t="s">
        <v>1433</v>
      </c>
      <c r="G280" s="222" t="s">
        <v>1433</v>
      </c>
      <c r="H280" s="112" t="s">
        <v>1433</v>
      </c>
      <c r="I280" s="112" t="s">
        <v>1433</v>
      </c>
    </row>
    <row r="281" spans="1:9" x14ac:dyDescent="0.2">
      <c r="A281" s="245"/>
      <c r="B281" s="4" t="s">
        <v>980</v>
      </c>
      <c r="C281" s="1" t="s">
        <v>1433</v>
      </c>
      <c r="D281" s="112" t="s">
        <v>1433</v>
      </c>
      <c r="E281" s="1" t="s">
        <v>1433</v>
      </c>
      <c r="F281" s="112" t="s">
        <v>1433</v>
      </c>
      <c r="G281" s="222" t="s">
        <v>1433</v>
      </c>
      <c r="H281" s="112" t="s">
        <v>1433</v>
      </c>
      <c r="I281" s="112" t="s">
        <v>1433</v>
      </c>
    </row>
    <row r="282" spans="1:9" x14ac:dyDescent="0.2">
      <c r="A282" s="245"/>
      <c r="B282" s="4" t="s">
        <v>138</v>
      </c>
      <c r="C282" s="1" t="s">
        <v>1433</v>
      </c>
      <c r="D282" s="112" t="s">
        <v>1433</v>
      </c>
      <c r="E282" s="1" t="s">
        <v>1433</v>
      </c>
      <c r="F282" s="112" t="s">
        <v>1433</v>
      </c>
      <c r="G282" s="222" t="s">
        <v>1433</v>
      </c>
      <c r="H282" s="112" t="s">
        <v>1433</v>
      </c>
      <c r="I282" s="112" t="s">
        <v>1433</v>
      </c>
    </row>
    <row r="283" spans="1:9" x14ac:dyDescent="0.2">
      <c r="A283" s="245"/>
      <c r="C283" s="7" t="str">
        <f>+$C$4</f>
        <v>2018 ACTUAL</v>
      </c>
      <c r="D283" s="129" t="str">
        <f t="shared" ref="D283:I283" si="52">+D$4</f>
        <v>2019 ACTUAL</v>
      </c>
      <c r="E283" s="7" t="str">
        <f t="shared" si="52"/>
        <v>2020 ACTUAL</v>
      </c>
      <c r="F283" s="129" t="str">
        <f t="shared" si="52"/>
        <v>2021 ACTUAL</v>
      </c>
      <c r="G283" s="223" t="str">
        <f t="shared" si="52"/>
        <v>2022 ACTUAL</v>
      </c>
      <c r="H283" s="129" t="str">
        <f t="shared" si="52"/>
        <v xml:space="preserve">2023 BUDGET </v>
      </c>
      <c r="I283" s="129" t="str">
        <f t="shared" si="52"/>
        <v xml:space="preserve">2024 BUDGET </v>
      </c>
    </row>
    <row r="284" spans="1:9" x14ac:dyDescent="0.2">
      <c r="A284" s="251" t="s">
        <v>960</v>
      </c>
      <c r="B284" s="4" t="s">
        <v>854</v>
      </c>
      <c r="G284" s="115"/>
      <c r="H284" s="10"/>
      <c r="I284" s="10"/>
    </row>
    <row r="285" spans="1:9" x14ac:dyDescent="0.2">
      <c r="A285" s="245" t="s">
        <v>961</v>
      </c>
      <c r="B285" s="126" t="s">
        <v>1884</v>
      </c>
      <c r="C285" s="10">
        <v>10247.9</v>
      </c>
      <c r="D285" s="10">
        <v>10247.9</v>
      </c>
      <c r="E285" s="10">
        <v>13246.51</v>
      </c>
      <c r="F285" s="10">
        <v>13248.04</v>
      </c>
      <c r="G285" s="10">
        <v>13502.81</v>
      </c>
      <c r="H285" s="10">
        <v>13248</v>
      </c>
      <c r="I285" s="10">
        <v>13248</v>
      </c>
    </row>
    <row r="286" spans="1:9" x14ac:dyDescent="0.2">
      <c r="A286" s="245" t="s">
        <v>962</v>
      </c>
      <c r="B286" s="126" t="s">
        <v>1957</v>
      </c>
      <c r="C286" s="18">
        <v>64234.3</v>
      </c>
      <c r="D286" s="18">
        <v>65834.080000000002</v>
      </c>
      <c r="E286" s="18">
        <v>68238.17</v>
      </c>
      <c r="F286" s="18">
        <v>72630.22</v>
      </c>
      <c r="G286" s="18">
        <v>80767.11</v>
      </c>
      <c r="H286" s="10">
        <v>79455</v>
      </c>
      <c r="I286" s="10">
        <f>46550+37581</f>
        <v>84131</v>
      </c>
    </row>
    <row r="287" spans="1:9" x14ac:dyDescent="0.2">
      <c r="A287" s="245" t="s">
        <v>963</v>
      </c>
      <c r="B287" s="126" t="s">
        <v>1959</v>
      </c>
      <c r="C287" s="10">
        <v>0</v>
      </c>
      <c r="D287" s="10">
        <v>34698.03</v>
      </c>
      <c r="E287" s="10">
        <v>41637.08</v>
      </c>
      <c r="F287" s="10">
        <v>42829.8</v>
      </c>
      <c r="G287" s="10">
        <v>44899.02</v>
      </c>
      <c r="H287" s="10">
        <v>46151</v>
      </c>
      <c r="I287" s="10">
        <v>51394</v>
      </c>
    </row>
    <row r="288" spans="1:9" x14ac:dyDescent="0.2">
      <c r="A288" s="245" t="s">
        <v>964</v>
      </c>
      <c r="B288" s="126" t="s">
        <v>1889</v>
      </c>
      <c r="C288" s="10">
        <v>297.73</v>
      </c>
      <c r="D288" s="10">
        <v>1387.04</v>
      </c>
      <c r="E288" s="10">
        <v>1853.12</v>
      </c>
      <c r="F288" s="10">
        <v>2033.04</v>
      </c>
      <c r="G288" s="10">
        <v>2113.7399999999998</v>
      </c>
      <c r="H288" s="10">
        <v>1860</v>
      </c>
      <c r="I288" s="10">
        <v>2400</v>
      </c>
    </row>
    <row r="289" spans="1:9" x14ac:dyDescent="0.2">
      <c r="A289" s="245" t="s">
        <v>1740</v>
      </c>
      <c r="B289" s="126" t="s">
        <v>1956</v>
      </c>
      <c r="C289" s="10">
        <v>1999.92</v>
      </c>
      <c r="D289" s="10">
        <v>2969.22</v>
      </c>
      <c r="E289" s="10">
        <v>3400.02</v>
      </c>
      <c r="F289" s="10">
        <v>3400.02</v>
      </c>
      <c r="G289" s="10">
        <v>3465.41</v>
      </c>
      <c r="H289" s="10">
        <v>3400</v>
      </c>
      <c r="I289" s="10">
        <v>4000</v>
      </c>
    </row>
    <row r="290" spans="1:9" x14ac:dyDescent="0.2">
      <c r="A290" s="245" t="s">
        <v>965</v>
      </c>
      <c r="B290" s="126" t="s">
        <v>1891</v>
      </c>
      <c r="C290" s="18">
        <v>5658.77</v>
      </c>
      <c r="D290" s="18">
        <v>8533.1299999999992</v>
      </c>
      <c r="E290" s="18">
        <v>9526.6299999999992</v>
      </c>
      <c r="F290" s="18">
        <v>9972.76</v>
      </c>
      <c r="G290" s="18">
        <v>10717.99</v>
      </c>
      <c r="H290" s="10">
        <v>11388</v>
      </c>
      <c r="I290" s="10">
        <v>12234</v>
      </c>
    </row>
    <row r="291" spans="1:9" x14ac:dyDescent="0.2">
      <c r="A291" s="245" t="s">
        <v>966</v>
      </c>
      <c r="B291" s="126" t="s">
        <v>1892</v>
      </c>
      <c r="C291" s="18">
        <v>8991.76</v>
      </c>
      <c r="D291" s="18">
        <v>13671.74</v>
      </c>
      <c r="E291" s="18">
        <v>15804.68</v>
      </c>
      <c r="F291" s="18">
        <v>16691.18</v>
      </c>
      <c r="G291" s="18">
        <v>18001.689999999999</v>
      </c>
      <c r="H291" s="10">
        <v>18519</v>
      </c>
      <c r="I291" s="10">
        <v>19911</v>
      </c>
    </row>
    <row r="292" spans="1:9" x14ac:dyDescent="0.2">
      <c r="A292" s="245" t="s">
        <v>967</v>
      </c>
      <c r="B292" s="126" t="s">
        <v>1893</v>
      </c>
      <c r="C292" s="18">
        <v>13920</v>
      </c>
      <c r="D292" s="18">
        <v>20653.830000000002</v>
      </c>
      <c r="E292" s="18">
        <v>23400</v>
      </c>
      <c r="F292" s="18">
        <v>23400</v>
      </c>
      <c r="G292" s="18">
        <v>21450</v>
      </c>
      <c r="H292" s="10">
        <v>23713</v>
      </c>
      <c r="I292" s="10">
        <v>23400</v>
      </c>
    </row>
    <row r="293" spans="1:9" x14ac:dyDescent="0.2">
      <c r="A293" s="245" t="s">
        <v>968</v>
      </c>
      <c r="B293" s="126" t="s">
        <v>1895</v>
      </c>
      <c r="C293" s="10">
        <v>1711.45</v>
      </c>
      <c r="D293" s="10">
        <v>2321.96</v>
      </c>
      <c r="E293" s="10">
        <v>1320.12</v>
      </c>
      <c r="F293" s="10">
        <v>1773.71</v>
      </c>
      <c r="G293" s="10">
        <v>1173.06</v>
      </c>
      <c r="H293" s="10">
        <v>2000</v>
      </c>
      <c r="I293" s="10">
        <v>3000</v>
      </c>
    </row>
    <row r="294" spans="1:9" x14ac:dyDescent="0.2">
      <c r="A294" s="245" t="s">
        <v>969</v>
      </c>
      <c r="B294" s="126" t="s">
        <v>1896</v>
      </c>
      <c r="C294" s="10">
        <v>93.63</v>
      </c>
      <c r="D294" s="10">
        <v>97.19</v>
      </c>
      <c r="E294" s="10">
        <v>56.7</v>
      </c>
      <c r="F294" s="10">
        <v>67.650000000000006</v>
      </c>
      <c r="G294" s="10">
        <v>19.61</v>
      </c>
      <c r="H294" s="10">
        <v>200</v>
      </c>
      <c r="I294" s="10">
        <v>300</v>
      </c>
    </row>
    <row r="295" spans="1:9" x14ac:dyDescent="0.2">
      <c r="A295" s="248" t="s">
        <v>2313</v>
      </c>
      <c r="B295" s="126" t="s">
        <v>1897</v>
      </c>
      <c r="C295" s="10">
        <v>0</v>
      </c>
      <c r="D295" s="10">
        <v>0</v>
      </c>
      <c r="E295" s="10">
        <v>455.88</v>
      </c>
      <c r="F295" s="10">
        <v>455.88</v>
      </c>
      <c r="G295" s="10">
        <v>455.88</v>
      </c>
      <c r="H295" s="10">
        <v>500</v>
      </c>
      <c r="I295" s="10">
        <v>500</v>
      </c>
    </row>
    <row r="296" spans="1:9" x14ac:dyDescent="0.2">
      <c r="A296" s="245" t="s">
        <v>33</v>
      </c>
      <c r="B296" s="126" t="s">
        <v>1898</v>
      </c>
      <c r="C296" s="10">
        <v>4723.1499999999996</v>
      </c>
      <c r="D296" s="10">
        <v>1685.06</v>
      </c>
      <c r="E296" s="10">
        <v>2776.99</v>
      </c>
      <c r="F296" s="10">
        <v>274</v>
      </c>
      <c r="G296" s="10">
        <v>1871.41</v>
      </c>
      <c r="H296" s="10">
        <v>4000</v>
      </c>
      <c r="I296" s="10">
        <v>3600</v>
      </c>
    </row>
    <row r="297" spans="1:9" x14ac:dyDescent="0.2">
      <c r="A297" s="245" t="s">
        <v>34</v>
      </c>
      <c r="B297" s="126" t="s">
        <v>1899</v>
      </c>
      <c r="C297" s="18">
        <v>0</v>
      </c>
      <c r="D297" s="18">
        <v>0</v>
      </c>
      <c r="E297" s="18">
        <v>0</v>
      </c>
      <c r="F297" s="18">
        <v>1243</v>
      </c>
      <c r="G297" s="18">
        <v>0</v>
      </c>
      <c r="H297" s="10">
        <v>0</v>
      </c>
      <c r="I297" s="10">
        <f t="shared" ref="I297" si="53">+H297</f>
        <v>0</v>
      </c>
    </row>
    <row r="298" spans="1:9" x14ac:dyDescent="0.2">
      <c r="A298" s="245" t="s">
        <v>35</v>
      </c>
      <c r="B298" s="126" t="s">
        <v>1900</v>
      </c>
      <c r="C298" s="18">
        <v>0</v>
      </c>
      <c r="D298" s="18">
        <v>0</v>
      </c>
      <c r="E298" s="18">
        <v>0</v>
      </c>
      <c r="F298" s="18">
        <v>1649.98</v>
      </c>
      <c r="G298" s="18">
        <v>1810.22</v>
      </c>
      <c r="H298" s="10">
        <v>3200</v>
      </c>
      <c r="I298" s="10">
        <v>3200</v>
      </c>
    </row>
    <row r="299" spans="1:9" x14ac:dyDescent="0.2">
      <c r="A299" s="245"/>
      <c r="B299" s="6" t="s">
        <v>1118</v>
      </c>
      <c r="C299" s="38">
        <f t="shared" ref="C299:G299" si="54">SUM(C285:C298)</f>
        <v>111878.60999999999</v>
      </c>
      <c r="D299" s="38">
        <f t="shared" si="54"/>
        <v>162099.17999999996</v>
      </c>
      <c r="E299" s="38">
        <f t="shared" si="54"/>
        <v>181715.9</v>
      </c>
      <c r="F299" s="38">
        <f t="shared" si="54"/>
        <v>189669.28</v>
      </c>
      <c r="G299" s="38">
        <f t="shared" si="54"/>
        <v>200247.94999999998</v>
      </c>
      <c r="H299" s="38">
        <f t="shared" ref="H299:I299" si="55">SUM(H285:H298)</f>
        <v>207634</v>
      </c>
      <c r="I299" s="38">
        <f t="shared" si="55"/>
        <v>221318</v>
      </c>
    </row>
    <row r="300" spans="1:9" x14ac:dyDescent="0.2">
      <c r="A300" s="245"/>
      <c r="B300" s="6"/>
      <c r="C300" s="8"/>
      <c r="E300" s="8"/>
      <c r="G300" s="10"/>
      <c r="H300" s="10"/>
      <c r="I300" s="10"/>
    </row>
    <row r="301" spans="1:9" x14ac:dyDescent="0.2">
      <c r="A301" s="246" t="s">
        <v>2443</v>
      </c>
      <c r="B301" s="20" t="s">
        <v>119</v>
      </c>
      <c r="C301" s="10"/>
      <c r="E301" s="10"/>
      <c r="G301" s="10"/>
      <c r="H301" s="10"/>
      <c r="I301" s="10"/>
    </row>
    <row r="302" spans="1:9" x14ac:dyDescent="0.2">
      <c r="A302" s="245" t="s">
        <v>172</v>
      </c>
      <c r="B302" s="126" t="s">
        <v>1960</v>
      </c>
      <c r="C302" s="10">
        <v>0</v>
      </c>
      <c r="D302" s="10">
        <v>0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</row>
    <row r="303" spans="1:9" x14ac:dyDescent="0.2">
      <c r="A303" s="245" t="s">
        <v>1776</v>
      </c>
      <c r="B303" s="126" t="s">
        <v>1889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</row>
    <row r="304" spans="1:9" x14ac:dyDescent="0.2">
      <c r="A304" s="245" t="s">
        <v>1777</v>
      </c>
      <c r="B304" s="126" t="s">
        <v>1891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</row>
    <row r="305" spans="1:9" x14ac:dyDescent="0.2">
      <c r="A305" s="245" t="s">
        <v>1778</v>
      </c>
      <c r="B305" s="126" t="s">
        <v>1892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</row>
    <row r="306" spans="1:9" x14ac:dyDescent="0.2">
      <c r="A306" s="245" t="s">
        <v>1779</v>
      </c>
      <c r="B306" s="126" t="s">
        <v>1893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</row>
    <row r="307" spans="1:9" x14ac:dyDescent="0.2">
      <c r="A307" s="248" t="s">
        <v>1799</v>
      </c>
      <c r="B307" s="126" t="s">
        <v>1961</v>
      </c>
      <c r="C307" s="10"/>
      <c r="D307" s="10">
        <v>21722.3</v>
      </c>
      <c r="E307" s="10">
        <v>42148.94</v>
      </c>
      <c r="F307" s="10">
        <v>42169.01</v>
      </c>
      <c r="G307" s="10">
        <v>41568.6</v>
      </c>
      <c r="H307" s="10">
        <v>84338</v>
      </c>
      <c r="I307" s="10">
        <v>84338</v>
      </c>
    </row>
    <row r="308" spans="1:9" x14ac:dyDescent="0.2">
      <c r="A308" s="245"/>
      <c r="B308" s="6" t="s">
        <v>1118</v>
      </c>
      <c r="C308" s="38">
        <f>SUM(C302:C306)</f>
        <v>0</v>
      </c>
      <c r="D308" s="38">
        <f t="shared" ref="D308:I308" si="56">SUM(D302:D307)</f>
        <v>21722.3</v>
      </c>
      <c r="E308" s="38">
        <f t="shared" si="56"/>
        <v>42148.94</v>
      </c>
      <c r="F308" s="38">
        <f t="shared" si="56"/>
        <v>42169.01</v>
      </c>
      <c r="G308" s="38">
        <f t="shared" si="56"/>
        <v>41568.6</v>
      </c>
      <c r="H308" s="38">
        <f t="shared" si="56"/>
        <v>84338</v>
      </c>
      <c r="I308" s="38">
        <f t="shared" si="56"/>
        <v>84338</v>
      </c>
    </row>
    <row r="309" spans="1:9" x14ac:dyDescent="0.2">
      <c r="A309" s="245"/>
      <c r="B309" s="6" t="s">
        <v>1433</v>
      </c>
      <c r="C309" s="8"/>
      <c r="E309" s="8"/>
      <c r="G309" s="10"/>
      <c r="H309" s="10"/>
      <c r="I309" s="10"/>
    </row>
    <row r="310" spans="1:9" x14ac:dyDescent="0.2">
      <c r="A310" s="251" t="s">
        <v>36</v>
      </c>
      <c r="B310" s="20" t="s">
        <v>855</v>
      </c>
      <c r="C310" s="8"/>
      <c r="E310" s="8"/>
      <c r="G310" s="10"/>
      <c r="H310" s="10"/>
      <c r="I310" s="10"/>
    </row>
    <row r="311" spans="1:9" x14ac:dyDescent="0.2">
      <c r="A311" s="245" t="s">
        <v>37</v>
      </c>
      <c r="B311" s="126" t="s">
        <v>1884</v>
      </c>
      <c r="C311" s="10">
        <v>48435.92</v>
      </c>
      <c r="D311" s="10">
        <v>49235.94</v>
      </c>
      <c r="E311" s="10">
        <v>50032.88</v>
      </c>
      <c r="F311" s="10">
        <v>51236.12</v>
      </c>
      <c r="G311" s="10">
        <v>53449.02</v>
      </c>
      <c r="H311" s="10">
        <v>53636</v>
      </c>
      <c r="I311" s="10">
        <v>56318</v>
      </c>
    </row>
    <row r="312" spans="1:9" x14ac:dyDescent="0.2">
      <c r="A312" s="245" t="s">
        <v>838</v>
      </c>
      <c r="B312" s="126" t="s">
        <v>1901</v>
      </c>
      <c r="C312" s="10">
        <v>161732.78</v>
      </c>
      <c r="D312" s="10">
        <v>156777.13</v>
      </c>
      <c r="E312" s="10">
        <v>172648.31</v>
      </c>
      <c r="F312" s="10">
        <v>171361.63</v>
      </c>
      <c r="G312" s="10">
        <v>173100.63</v>
      </c>
      <c r="H312" s="10">
        <v>231644</v>
      </c>
      <c r="I312" s="10">
        <f>353695-I311-I313</f>
        <v>275080</v>
      </c>
    </row>
    <row r="313" spans="1:9" x14ac:dyDescent="0.2">
      <c r="A313" s="245" t="s">
        <v>1084</v>
      </c>
      <c r="B313" s="126" t="s">
        <v>1958</v>
      </c>
      <c r="C313" s="10">
        <v>34069.43</v>
      </c>
      <c r="D313" s="10">
        <v>34573.839999999997</v>
      </c>
      <c r="E313" s="10">
        <v>33328.51</v>
      </c>
      <c r="F313" s="10">
        <v>33608.89</v>
      </c>
      <c r="G313" s="10">
        <v>35926.54</v>
      </c>
      <c r="H313" s="10">
        <v>21235</v>
      </c>
      <c r="I313" s="10">
        <v>22297</v>
      </c>
    </row>
    <row r="314" spans="1:9" x14ac:dyDescent="0.2">
      <c r="A314" s="245" t="s">
        <v>2527</v>
      </c>
      <c r="B314" s="126" t="s">
        <v>2525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1000</v>
      </c>
      <c r="I314" s="10">
        <v>1000</v>
      </c>
    </row>
    <row r="315" spans="1:9" x14ac:dyDescent="0.2">
      <c r="A315" s="245" t="s">
        <v>839</v>
      </c>
      <c r="B315" s="126" t="s">
        <v>1889</v>
      </c>
      <c r="C315" s="10">
        <v>466.23</v>
      </c>
      <c r="D315" s="10">
        <v>1285.6600000000001</v>
      </c>
      <c r="E315" s="10">
        <v>1665.78</v>
      </c>
      <c r="F315" s="10">
        <v>1707.54</v>
      </c>
      <c r="G315" s="10">
        <v>1855.36</v>
      </c>
      <c r="H315" s="10">
        <v>2400</v>
      </c>
      <c r="I315" s="10">
        <v>2760</v>
      </c>
    </row>
    <row r="316" spans="1:9" x14ac:dyDescent="0.2">
      <c r="A316" s="245" t="s">
        <v>840</v>
      </c>
      <c r="B316" s="126" t="s">
        <v>1891</v>
      </c>
      <c r="C316" s="10">
        <v>16614.23</v>
      </c>
      <c r="D316" s="10">
        <v>16884.14</v>
      </c>
      <c r="E316" s="10">
        <v>17628.439999999999</v>
      </c>
      <c r="F316" s="10">
        <v>17561.28</v>
      </c>
      <c r="G316" s="10">
        <v>18424.95</v>
      </c>
      <c r="H316" s="10">
        <v>23708.497500000001</v>
      </c>
      <c r="I316" s="10">
        <v>27345</v>
      </c>
    </row>
    <row r="317" spans="1:9" x14ac:dyDescent="0.2">
      <c r="A317" s="245" t="s">
        <v>841</v>
      </c>
      <c r="B317" s="126" t="s">
        <v>1892</v>
      </c>
      <c r="C317" s="10">
        <v>27938.67</v>
      </c>
      <c r="D317" s="10">
        <v>28699.9</v>
      </c>
      <c r="E317" s="10">
        <v>31736.98</v>
      </c>
      <c r="F317" s="10">
        <v>32083.919999999998</v>
      </c>
      <c r="G317" s="10">
        <v>32881.99</v>
      </c>
      <c r="H317" s="10">
        <v>38553.425999999999</v>
      </c>
      <c r="I317" s="10">
        <v>44503</v>
      </c>
    </row>
    <row r="318" spans="1:9" x14ac:dyDescent="0.2">
      <c r="A318" s="245" t="s">
        <v>842</v>
      </c>
      <c r="B318" s="126" t="s">
        <v>1893</v>
      </c>
      <c r="C318" s="18">
        <v>46836.53</v>
      </c>
      <c r="D318" s="18">
        <v>47240</v>
      </c>
      <c r="E318" s="18">
        <v>52510.26</v>
      </c>
      <c r="F318" s="18">
        <v>46800</v>
      </c>
      <c r="G318" s="18">
        <v>46800</v>
      </c>
      <c r="H318" s="10">
        <v>63026</v>
      </c>
      <c r="I318" s="10">
        <v>70200</v>
      </c>
    </row>
    <row r="319" spans="1:9" x14ac:dyDescent="0.2">
      <c r="A319" s="245" t="s">
        <v>1082</v>
      </c>
      <c r="B319" s="126" t="s">
        <v>1906</v>
      </c>
      <c r="C319" s="18">
        <v>300.04000000000002</v>
      </c>
      <c r="D319" s="18">
        <v>324.02999999999997</v>
      </c>
      <c r="E319" s="18">
        <v>213.64</v>
      </c>
      <c r="F319" s="18">
        <v>201.3</v>
      </c>
      <c r="G319" s="18">
        <v>140.4</v>
      </c>
      <c r="H319" s="10">
        <v>1500</v>
      </c>
      <c r="I319" s="10">
        <v>1500</v>
      </c>
    </row>
    <row r="320" spans="1:9" x14ac:dyDescent="0.2">
      <c r="A320" s="245" t="s">
        <v>843</v>
      </c>
      <c r="B320" s="126" t="s">
        <v>1962</v>
      </c>
      <c r="C320" s="10">
        <v>11818.24</v>
      </c>
      <c r="D320" s="10">
        <v>11048.18</v>
      </c>
      <c r="E320" s="10">
        <v>8678.18</v>
      </c>
      <c r="F320" s="10">
        <v>9614.52</v>
      </c>
      <c r="G320" s="10">
        <v>12757.57</v>
      </c>
      <c r="H320" s="10">
        <v>15000</v>
      </c>
      <c r="I320" s="10">
        <v>15000</v>
      </c>
    </row>
    <row r="321" spans="1:9" x14ac:dyDescent="0.2">
      <c r="A321" s="245" t="s">
        <v>844</v>
      </c>
      <c r="B321" s="126" t="s">
        <v>1896</v>
      </c>
      <c r="C321" s="10">
        <v>8401.4699999999993</v>
      </c>
      <c r="D321" s="10">
        <v>8906.9500000000007</v>
      </c>
      <c r="E321" s="10">
        <v>7055.75</v>
      </c>
      <c r="F321" s="10">
        <v>6867.46</v>
      </c>
      <c r="G321" s="10">
        <v>7523</v>
      </c>
      <c r="H321" s="10">
        <v>10000</v>
      </c>
      <c r="I321" s="10">
        <f t="shared" ref="I321:I322" si="57">+H321</f>
        <v>10000</v>
      </c>
    </row>
    <row r="322" spans="1:9" x14ac:dyDescent="0.2">
      <c r="A322" s="248" t="s">
        <v>2312</v>
      </c>
      <c r="B322" s="126" t="s">
        <v>1897</v>
      </c>
      <c r="C322" s="10">
        <v>0</v>
      </c>
      <c r="D322" s="10">
        <v>0</v>
      </c>
      <c r="E322" s="10">
        <v>456</v>
      </c>
      <c r="F322" s="10">
        <v>456</v>
      </c>
      <c r="G322" s="10">
        <v>455.88</v>
      </c>
      <c r="H322" s="10">
        <v>500</v>
      </c>
      <c r="I322" s="10">
        <f t="shared" si="57"/>
        <v>500</v>
      </c>
    </row>
    <row r="323" spans="1:9" x14ac:dyDescent="0.2">
      <c r="A323" s="245" t="s">
        <v>845</v>
      </c>
      <c r="B323" s="126" t="s">
        <v>1898</v>
      </c>
      <c r="C323" s="10">
        <v>4022.93</v>
      </c>
      <c r="D323" s="10">
        <v>2932.31</v>
      </c>
      <c r="E323" s="10">
        <v>4119.3100000000004</v>
      </c>
      <c r="F323" s="10">
        <v>2080.9499999999998</v>
      </c>
      <c r="G323" s="10">
        <v>3001.78</v>
      </c>
      <c r="H323" s="10">
        <v>4500</v>
      </c>
      <c r="I323" s="10">
        <v>5000</v>
      </c>
    </row>
    <row r="324" spans="1:9" x14ac:dyDescent="0.2">
      <c r="A324" s="245" t="s">
        <v>846</v>
      </c>
      <c r="B324" s="126" t="s">
        <v>1899</v>
      </c>
      <c r="C324" s="10">
        <v>200</v>
      </c>
      <c r="D324" s="10">
        <v>200</v>
      </c>
      <c r="E324" s="10">
        <v>200</v>
      </c>
      <c r="F324" s="10">
        <v>0</v>
      </c>
      <c r="G324" s="10">
        <v>0</v>
      </c>
      <c r="H324" s="10">
        <v>200</v>
      </c>
      <c r="I324" s="10">
        <v>0</v>
      </c>
    </row>
    <row r="325" spans="1:9" x14ac:dyDescent="0.2">
      <c r="A325" s="245" t="s">
        <v>847</v>
      </c>
      <c r="B325" s="126" t="s">
        <v>1900</v>
      </c>
      <c r="C325" s="18">
        <v>0</v>
      </c>
      <c r="D325" s="18">
        <v>0</v>
      </c>
      <c r="E325" s="18">
        <v>4266.47</v>
      </c>
      <c r="F325" s="18">
        <v>10690.75</v>
      </c>
      <c r="G325" s="18">
        <v>1597.42</v>
      </c>
      <c r="H325" s="10">
        <v>3000</v>
      </c>
      <c r="I325" s="10">
        <v>3500</v>
      </c>
    </row>
    <row r="326" spans="1:9" x14ac:dyDescent="0.2">
      <c r="A326" s="245"/>
      <c r="B326" s="6" t="s">
        <v>1118</v>
      </c>
      <c r="C326" s="38">
        <f t="shared" ref="C326:H326" si="58">SUM(C311:C325)</f>
        <v>360836.47</v>
      </c>
      <c r="D326" s="38">
        <f t="shared" si="58"/>
        <v>358108.08000000007</v>
      </c>
      <c r="E326" s="38">
        <f t="shared" si="58"/>
        <v>384540.50999999995</v>
      </c>
      <c r="F326" s="38">
        <f t="shared" si="58"/>
        <v>384270.36000000004</v>
      </c>
      <c r="G326" s="38">
        <f t="shared" si="58"/>
        <v>387914.54000000004</v>
      </c>
      <c r="H326" s="38">
        <f t="shared" si="58"/>
        <v>469902.92349999998</v>
      </c>
      <c r="I326" s="38">
        <f t="shared" ref="I326" si="59">SUM(I311:I325)</f>
        <v>535003</v>
      </c>
    </row>
    <row r="327" spans="1:9" ht="12.75" customHeight="1" x14ac:dyDescent="0.2">
      <c r="A327" s="245"/>
      <c r="B327" s="4" t="s">
        <v>653</v>
      </c>
      <c r="C327" s="112" t="s">
        <v>1433</v>
      </c>
      <c r="D327" s="112" t="s">
        <v>1433</v>
      </c>
      <c r="E327" s="112" t="s">
        <v>1433</v>
      </c>
      <c r="F327" s="112" t="s">
        <v>1433</v>
      </c>
      <c r="G327" s="222" t="s">
        <v>1433</v>
      </c>
      <c r="H327" s="112" t="s">
        <v>1433</v>
      </c>
      <c r="I327" s="112" t="s">
        <v>1433</v>
      </c>
    </row>
    <row r="328" spans="1:9" ht="12.75" customHeight="1" x14ac:dyDescent="0.2">
      <c r="A328" s="245"/>
      <c r="B328" s="4" t="s">
        <v>980</v>
      </c>
      <c r="C328" s="112" t="s">
        <v>1433</v>
      </c>
      <c r="D328" s="112" t="s">
        <v>1433</v>
      </c>
      <c r="E328" s="112" t="s">
        <v>1433</v>
      </c>
      <c r="F328" s="112" t="s">
        <v>1433</v>
      </c>
      <c r="G328" s="222" t="s">
        <v>1433</v>
      </c>
      <c r="H328" s="112" t="s">
        <v>1433</v>
      </c>
      <c r="I328" s="112" t="s">
        <v>1433</v>
      </c>
    </row>
    <row r="329" spans="1:9" ht="12.75" customHeight="1" x14ac:dyDescent="0.2">
      <c r="A329" s="245"/>
      <c r="B329" s="4" t="s">
        <v>138</v>
      </c>
      <c r="C329" s="112" t="s">
        <v>1433</v>
      </c>
      <c r="D329" s="112" t="s">
        <v>1433</v>
      </c>
      <c r="E329" s="112" t="s">
        <v>1433</v>
      </c>
      <c r="F329" s="112" t="s">
        <v>1433</v>
      </c>
      <c r="G329" s="222" t="s">
        <v>1433</v>
      </c>
      <c r="H329" s="112" t="s">
        <v>1433</v>
      </c>
      <c r="I329" s="112" t="s">
        <v>1433</v>
      </c>
    </row>
    <row r="330" spans="1:9" ht="12.75" customHeight="1" x14ac:dyDescent="0.2">
      <c r="A330" s="245"/>
      <c r="C330" s="129" t="str">
        <f>+$C$4</f>
        <v>2018 ACTUAL</v>
      </c>
      <c r="D330" s="129" t="str">
        <f t="shared" ref="D330:I330" si="60">+D$4</f>
        <v>2019 ACTUAL</v>
      </c>
      <c r="E330" s="129" t="str">
        <f t="shared" si="60"/>
        <v>2020 ACTUAL</v>
      </c>
      <c r="F330" s="129" t="str">
        <f t="shared" si="60"/>
        <v>2021 ACTUAL</v>
      </c>
      <c r="G330" s="223" t="str">
        <f t="shared" si="60"/>
        <v>2022 ACTUAL</v>
      </c>
      <c r="H330" s="129" t="str">
        <f t="shared" si="60"/>
        <v xml:space="preserve">2023 BUDGET </v>
      </c>
      <c r="I330" s="129" t="str">
        <f t="shared" si="60"/>
        <v xml:space="preserve">2024 BUDGET </v>
      </c>
    </row>
    <row r="331" spans="1:9" x14ac:dyDescent="0.2">
      <c r="A331" s="251" t="s">
        <v>848</v>
      </c>
      <c r="B331" s="4" t="s">
        <v>860</v>
      </c>
      <c r="G331" s="115"/>
      <c r="H331" s="10"/>
      <c r="I331" s="10"/>
    </row>
    <row r="332" spans="1:9" x14ac:dyDescent="0.2">
      <c r="A332" s="245" t="s">
        <v>849</v>
      </c>
      <c r="B332" s="126" t="s">
        <v>1884</v>
      </c>
      <c r="C332" s="10">
        <v>18639.919999999998</v>
      </c>
      <c r="D332" s="10">
        <v>18639.919999999998</v>
      </c>
      <c r="E332" s="10">
        <v>18002.52</v>
      </c>
      <c r="F332" s="10">
        <v>18000.060000000001</v>
      </c>
      <c r="G332" s="10">
        <v>18346.22</v>
      </c>
      <c r="H332" s="10">
        <v>18000</v>
      </c>
      <c r="I332" s="10">
        <f t="shared" ref="I332:I355" si="61">+H332</f>
        <v>18000</v>
      </c>
    </row>
    <row r="333" spans="1:9" x14ac:dyDescent="0.2">
      <c r="A333" s="245" t="s">
        <v>0</v>
      </c>
      <c r="B333" s="126" t="s">
        <v>1963</v>
      </c>
      <c r="C333" s="17">
        <v>307272.46999999997</v>
      </c>
      <c r="D333" s="17">
        <v>304102.13</v>
      </c>
      <c r="E333" s="17">
        <v>311174.49</v>
      </c>
      <c r="F333" s="17">
        <v>285817.09000000003</v>
      </c>
      <c r="G333" s="17">
        <v>337913.96</v>
      </c>
      <c r="H333" s="10">
        <v>415386</v>
      </c>
      <c r="I333" s="242">
        <f>837257-I332-I334-I335-I336</f>
        <v>554460</v>
      </c>
    </row>
    <row r="334" spans="1:9" x14ac:dyDescent="0.2">
      <c r="A334" s="245" t="s">
        <v>1</v>
      </c>
      <c r="B334" s="126" t="s">
        <v>1964</v>
      </c>
      <c r="C334" s="17">
        <v>49191.23</v>
      </c>
      <c r="D334" s="17">
        <v>49465.440000000002</v>
      </c>
      <c r="E334" s="17">
        <v>46464.91</v>
      </c>
      <c r="F334" s="17">
        <v>47667.88</v>
      </c>
      <c r="G334" s="17">
        <v>49832.44</v>
      </c>
      <c r="H334" s="10">
        <v>51109</v>
      </c>
      <c r="I334" s="10">
        <v>50068</v>
      </c>
    </row>
    <row r="335" spans="1:9" x14ac:dyDescent="0.2">
      <c r="A335" s="245" t="s">
        <v>2</v>
      </c>
      <c r="B335" s="126" t="s">
        <v>1965</v>
      </c>
      <c r="C335" s="17">
        <v>42861</v>
      </c>
      <c r="D335" s="17">
        <v>44652.14</v>
      </c>
      <c r="E335" s="17">
        <v>45449.08</v>
      </c>
      <c r="F335" s="17">
        <v>46651.8</v>
      </c>
      <c r="G335" s="17">
        <v>49796.79</v>
      </c>
      <c r="H335" s="10">
        <v>50068</v>
      </c>
      <c r="I335" s="10">
        <v>51109</v>
      </c>
    </row>
    <row r="336" spans="1:9" x14ac:dyDescent="0.2">
      <c r="A336" s="245" t="s">
        <v>3</v>
      </c>
      <c r="B336" s="126" t="s">
        <v>1904</v>
      </c>
      <c r="C336" s="17">
        <v>129344.33</v>
      </c>
      <c r="D336" s="17">
        <v>130919.81</v>
      </c>
      <c r="E336" s="17">
        <v>139349.47</v>
      </c>
      <c r="F336" s="17">
        <v>142523.81</v>
      </c>
      <c r="G336" s="17">
        <v>151752.57999999999</v>
      </c>
      <c r="H336" s="10">
        <v>155828</v>
      </c>
      <c r="I336" s="10">
        <f>43003+46550+30211+43856</f>
        <v>163620</v>
      </c>
    </row>
    <row r="337" spans="1:9" x14ac:dyDescent="0.2">
      <c r="A337" s="245" t="s">
        <v>2528</v>
      </c>
      <c r="B337" s="126" t="s">
        <v>2525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0">
        <v>150</v>
      </c>
      <c r="I337" s="10">
        <v>0</v>
      </c>
    </row>
    <row r="338" spans="1:9" x14ac:dyDescent="0.2">
      <c r="A338" s="245" t="s">
        <v>2633</v>
      </c>
      <c r="B338" s="126" t="s">
        <v>2634</v>
      </c>
      <c r="C338" s="17">
        <v>0</v>
      </c>
      <c r="D338" s="17">
        <v>0</v>
      </c>
      <c r="E338" s="17">
        <v>0</v>
      </c>
      <c r="F338" s="17">
        <v>0</v>
      </c>
      <c r="G338" s="17">
        <v>0</v>
      </c>
      <c r="H338" s="10">
        <v>0</v>
      </c>
      <c r="I338" s="10">
        <v>250000</v>
      </c>
    </row>
    <row r="339" spans="1:9" x14ac:dyDescent="0.2">
      <c r="A339" s="245" t="s">
        <v>7</v>
      </c>
      <c r="B339" s="126" t="s">
        <v>1889</v>
      </c>
      <c r="C339" s="17">
        <v>1583.62</v>
      </c>
      <c r="D339" s="17">
        <v>2979.02</v>
      </c>
      <c r="E339" s="17">
        <v>2808.42</v>
      </c>
      <c r="F339" s="17">
        <v>2947.15</v>
      </c>
      <c r="G339" s="17">
        <v>3168.41</v>
      </c>
      <c r="H339" s="10">
        <v>4020</v>
      </c>
      <c r="I339" s="10">
        <v>4260</v>
      </c>
    </row>
    <row r="340" spans="1:9" x14ac:dyDescent="0.2">
      <c r="A340" s="245" t="s">
        <v>6</v>
      </c>
      <c r="B340" s="126" t="s">
        <v>1966</v>
      </c>
      <c r="C340" s="17">
        <v>2898.56</v>
      </c>
      <c r="D340" s="17">
        <v>6009.5</v>
      </c>
      <c r="E340" s="17">
        <v>7144.96</v>
      </c>
      <c r="F340" s="17">
        <v>6000.28</v>
      </c>
      <c r="G340" s="17">
        <v>6479.98</v>
      </c>
      <c r="H340" s="10">
        <v>6960</v>
      </c>
      <c r="I340" s="10">
        <v>11580</v>
      </c>
    </row>
    <row r="341" spans="1:9" x14ac:dyDescent="0.2">
      <c r="A341" s="245" t="s">
        <v>4</v>
      </c>
      <c r="B341" s="126" t="s">
        <v>1967</v>
      </c>
      <c r="C341" s="17">
        <v>19240.490000000002</v>
      </c>
      <c r="D341" s="17">
        <v>14442.58</v>
      </c>
      <c r="E341" s="17">
        <v>16019.89</v>
      </c>
      <c r="F341" s="17">
        <v>13635.08</v>
      </c>
      <c r="G341" s="17">
        <v>13505.2</v>
      </c>
      <c r="H341" s="10">
        <v>13250</v>
      </c>
      <c r="I341" s="10">
        <v>0</v>
      </c>
    </row>
    <row r="342" spans="1:9" x14ac:dyDescent="0.2">
      <c r="A342" s="245" t="s">
        <v>5</v>
      </c>
      <c r="B342" s="126" t="s">
        <v>1956</v>
      </c>
      <c r="C342" s="17">
        <v>3999.84</v>
      </c>
      <c r="D342" s="17">
        <v>3930.61</v>
      </c>
      <c r="E342" s="17">
        <v>3999.84</v>
      </c>
      <c r="F342" s="17">
        <v>3999.84</v>
      </c>
      <c r="G342" s="17">
        <v>4076.76</v>
      </c>
      <c r="H342" s="10">
        <v>4000</v>
      </c>
      <c r="I342" s="10">
        <f t="shared" si="61"/>
        <v>4000</v>
      </c>
    </row>
    <row r="343" spans="1:9" x14ac:dyDescent="0.2">
      <c r="A343" s="245" t="s">
        <v>776</v>
      </c>
      <c r="B343" s="126" t="s">
        <v>1891</v>
      </c>
      <c r="C343" s="17">
        <v>41088.58</v>
      </c>
      <c r="D343" s="17">
        <v>41944.4</v>
      </c>
      <c r="E343" s="17">
        <v>43043.88</v>
      </c>
      <c r="F343" s="17">
        <v>41243.5</v>
      </c>
      <c r="G343" s="17">
        <v>48986.48</v>
      </c>
      <c r="H343" s="10">
        <v>58505</v>
      </c>
      <c r="I343" s="10">
        <v>86911</v>
      </c>
    </row>
    <row r="344" spans="1:9" x14ac:dyDescent="0.2">
      <c r="A344" s="245" t="s">
        <v>777</v>
      </c>
      <c r="B344" s="126" t="s">
        <v>1892</v>
      </c>
      <c r="C344" s="17">
        <v>70299.070000000007</v>
      </c>
      <c r="D344" s="17">
        <v>71194.559999999998</v>
      </c>
      <c r="E344" s="17">
        <v>76702.16</v>
      </c>
      <c r="F344" s="17">
        <v>74918.81</v>
      </c>
      <c r="G344" s="18">
        <v>86515.86</v>
      </c>
      <c r="H344" s="10">
        <v>94640</v>
      </c>
      <c r="I344" s="10">
        <v>141444</v>
      </c>
    </row>
    <row r="345" spans="1:9" x14ac:dyDescent="0.2">
      <c r="A345" s="245" t="s">
        <v>778</v>
      </c>
      <c r="B345" s="126" t="s">
        <v>1893</v>
      </c>
      <c r="C345" s="17">
        <v>73649.490000000005</v>
      </c>
      <c r="D345" s="17">
        <v>61197.61</v>
      </c>
      <c r="E345" s="17">
        <v>69550</v>
      </c>
      <c r="F345" s="17">
        <v>77675</v>
      </c>
      <c r="G345" s="17">
        <v>86450</v>
      </c>
      <c r="H345" s="10">
        <v>102495</v>
      </c>
      <c r="I345" s="10">
        <v>101400</v>
      </c>
    </row>
    <row r="346" spans="1:9" x14ac:dyDescent="0.2">
      <c r="A346" s="245" t="s">
        <v>779</v>
      </c>
      <c r="B346" s="126" t="s">
        <v>1895</v>
      </c>
      <c r="C346" s="17">
        <v>6333.26</v>
      </c>
      <c r="D346" s="17">
        <v>10451.469999999999</v>
      </c>
      <c r="E346" s="17">
        <v>7725.72</v>
      </c>
      <c r="F346" s="17">
        <v>7729.01</v>
      </c>
      <c r="G346" s="17">
        <v>5152.0200000000004</v>
      </c>
      <c r="H346" s="10">
        <v>6000</v>
      </c>
      <c r="I346" s="10">
        <v>0</v>
      </c>
    </row>
    <row r="347" spans="1:9" x14ac:dyDescent="0.2">
      <c r="A347" s="245" t="s">
        <v>780</v>
      </c>
      <c r="B347" s="126" t="s">
        <v>1896</v>
      </c>
      <c r="C347" s="17">
        <v>1007.38</v>
      </c>
      <c r="D347" s="17">
        <v>1021.42</v>
      </c>
      <c r="E347" s="17">
        <v>722.82</v>
      </c>
      <c r="F347" s="17">
        <v>1031.23</v>
      </c>
      <c r="G347" s="17">
        <v>780.55</v>
      </c>
      <c r="H347" s="10">
        <v>1000</v>
      </c>
      <c r="I347" s="10">
        <v>0</v>
      </c>
    </row>
    <row r="348" spans="1:9" x14ac:dyDescent="0.2">
      <c r="A348" s="245" t="s">
        <v>478</v>
      </c>
      <c r="B348" s="126" t="s">
        <v>1968</v>
      </c>
      <c r="C348" s="17">
        <v>3368.05</v>
      </c>
      <c r="D348" s="17">
        <v>3096.14</v>
      </c>
      <c r="E348" s="17">
        <v>2605.38</v>
      </c>
      <c r="F348" s="17">
        <v>2317.91</v>
      </c>
      <c r="G348" s="17">
        <v>3543.69</v>
      </c>
      <c r="H348" s="10">
        <v>4000</v>
      </c>
      <c r="I348" s="10">
        <v>0</v>
      </c>
    </row>
    <row r="349" spans="1:9" x14ac:dyDescent="0.2">
      <c r="A349" s="245" t="s">
        <v>781</v>
      </c>
      <c r="B349" s="126" t="s">
        <v>1969</v>
      </c>
      <c r="C349" s="17">
        <v>2236</v>
      </c>
      <c r="D349" s="17">
        <v>5881.45</v>
      </c>
      <c r="E349" s="17">
        <v>4101.54</v>
      </c>
      <c r="F349" s="17">
        <v>1593.87</v>
      </c>
      <c r="G349" s="17">
        <v>6493.82</v>
      </c>
      <c r="H349" s="10">
        <v>6000</v>
      </c>
      <c r="I349" s="10">
        <f t="shared" si="61"/>
        <v>6000</v>
      </c>
    </row>
    <row r="350" spans="1:9" x14ac:dyDescent="0.2">
      <c r="A350" s="245" t="s">
        <v>1594</v>
      </c>
      <c r="B350" s="126" t="s">
        <v>1970</v>
      </c>
      <c r="C350" s="17">
        <v>10941.46</v>
      </c>
      <c r="D350" s="17">
        <v>0</v>
      </c>
      <c r="E350" s="17">
        <v>1027.76</v>
      </c>
      <c r="F350" s="17">
        <v>-1027.76</v>
      </c>
      <c r="G350" s="17">
        <v>4245.45</v>
      </c>
      <c r="H350" s="10">
        <v>5000</v>
      </c>
      <c r="I350" s="10">
        <f t="shared" si="61"/>
        <v>5000</v>
      </c>
    </row>
    <row r="351" spans="1:9" x14ac:dyDescent="0.2">
      <c r="A351" s="245" t="s">
        <v>782</v>
      </c>
      <c r="B351" s="126" t="s">
        <v>1897</v>
      </c>
      <c r="C351" s="17">
        <v>0</v>
      </c>
      <c r="D351" s="17">
        <v>0</v>
      </c>
      <c r="E351" s="17">
        <v>0</v>
      </c>
      <c r="F351" s="17">
        <v>0</v>
      </c>
      <c r="G351" s="17">
        <v>0</v>
      </c>
      <c r="H351" s="10">
        <v>0</v>
      </c>
      <c r="I351" s="10">
        <f t="shared" si="61"/>
        <v>0</v>
      </c>
    </row>
    <row r="352" spans="1:9" x14ac:dyDescent="0.2">
      <c r="A352" s="245" t="s">
        <v>783</v>
      </c>
      <c r="B352" s="126" t="s">
        <v>1898</v>
      </c>
      <c r="C352" s="17">
        <v>0</v>
      </c>
      <c r="D352" s="17">
        <v>0</v>
      </c>
      <c r="E352" s="17">
        <v>4767.26</v>
      </c>
      <c r="F352" s="17">
        <v>4179.9399999999996</v>
      </c>
      <c r="G352" s="17">
        <v>12584.58</v>
      </c>
      <c r="H352" s="10">
        <v>11000</v>
      </c>
      <c r="I352" s="10">
        <v>11000</v>
      </c>
    </row>
    <row r="353" spans="1:9" x14ac:dyDescent="0.2">
      <c r="A353" s="245" t="s">
        <v>784</v>
      </c>
      <c r="B353" s="126" t="s">
        <v>1971</v>
      </c>
      <c r="C353" s="17">
        <v>1572.81</v>
      </c>
      <c r="D353" s="17">
        <v>3516.48</v>
      </c>
      <c r="E353" s="17">
        <v>1985.58</v>
      </c>
      <c r="F353" s="17">
        <v>2790.81</v>
      </c>
      <c r="G353" s="17">
        <v>1506.87</v>
      </c>
      <c r="H353" s="10">
        <v>2500</v>
      </c>
      <c r="I353" s="10">
        <v>2500</v>
      </c>
    </row>
    <row r="354" spans="1:9" x14ac:dyDescent="0.2">
      <c r="A354" s="245" t="s">
        <v>785</v>
      </c>
      <c r="B354" s="126" t="s">
        <v>1899</v>
      </c>
      <c r="C354" s="17">
        <v>0</v>
      </c>
      <c r="D354" s="17">
        <v>178</v>
      </c>
      <c r="E354" s="17">
        <v>0</v>
      </c>
      <c r="F354" s="17">
        <v>0</v>
      </c>
      <c r="G354" s="17">
        <v>0</v>
      </c>
      <c r="H354" s="10">
        <v>178</v>
      </c>
      <c r="I354" s="10">
        <v>71</v>
      </c>
    </row>
    <row r="355" spans="1:9" x14ac:dyDescent="0.2">
      <c r="A355" s="245" t="s">
        <v>770</v>
      </c>
      <c r="B355" s="126" t="s">
        <v>1900</v>
      </c>
      <c r="C355" s="17">
        <v>2190.91</v>
      </c>
      <c r="D355" s="17">
        <v>800.91</v>
      </c>
      <c r="E355" s="17">
        <v>134.22999999999999</v>
      </c>
      <c r="F355" s="17">
        <v>2411.16</v>
      </c>
      <c r="G355" s="17">
        <v>455.88</v>
      </c>
      <c r="H355" s="10">
        <v>1000</v>
      </c>
      <c r="I355" s="10">
        <f t="shared" si="61"/>
        <v>1000</v>
      </c>
    </row>
    <row r="356" spans="1:9" x14ac:dyDescent="0.2">
      <c r="A356" s="248" t="s">
        <v>2311</v>
      </c>
      <c r="B356" s="126" t="s">
        <v>2301</v>
      </c>
      <c r="C356" s="17">
        <v>0</v>
      </c>
      <c r="D356" s="17">
        <v>0</v>
      </c>
      <c r="E356" s="17">
        <v>0</v>
      </c>
      <c r="F356" s="17">
        <v>10517.69</v>
      </c>
      <c r="G356" s="17">
        <v>15732.24</v>
      </c>
      <c r="H356" s="10">
        <v>15651</v>
      </c>
      <c r="I356" s="10">
        <f>1304.24*12</f>
        <v>15650.880000000001</v>
      </c>
    </row>
    <row r="357" spans="1:9" x14ac:dyDescent="0.2">
      <c r="A357" s="245"/>
      <c r="B357" s="6" t="s">
        <v>1118</v>
      </c>
      <c r="C357" s="38">
        <f t="shared" ref="C357:F357" si="62">SUM(C332:C356)</f>
        <v>787718.47</v>
      </c>
      <c r="D357" s="38">
        <f t="shared" si="62"/>
        <v>774423.58999999985</v>
      </c>
      <c r="E357" s="38">
        <f t="shared" si="62"/>
        <v>802779.91</v>
      </c>
      <c r="F357" s="38">
        <f t="shared" si="62"/>
        <v>792624.16</v>
      </c>
      <c r="G357" s="38">
        <f t="shared" ref="G357:H357" si="63">SUM(G332:G356)</f>
        <v>907319.7799999998</v>
      </c>
      <c r="H357" s="38">
        <f t="shared" si="63"/>
        <v>1026740</v>
      </c>
      <c r="I357" s="38">
        <f t="shared" ref="I357" si="64">SUM(I332:I356)</f>
        <v>1478073.88</v>
      </c>
    </row>
    <row r="358" spans="1:9" x14ac:dyDescent="0.2">
      <c r="A358" s="245"/>
      <c r="B358" s="6"/>
      <c r="C358" s="10"/>
      <c r="E358" s="10"/>
      <c r="G358" s="115"/>
      <c r="H358" s="10"/>
      <c r="I358" s="10"/>
    </row>
    <row r="359" spans="1:9" ht="12.75" customHeight="1" x14ac:dyDescent="0.2">
      <c r="A359" s="251" t="s">
        <v>298</v>
      </c>
      <c r="B359" s="4" t="s">
        <v>862</v>
      </c>
      <c r="G359" s="115"/>
      <c r="H359" s="10"/>
      <c r="I359" s="10"/>
    </row>
    <row r="360" spans="1:9" ht="12.75" customHeight="1" x14ac:dyDescent="0.2">
      <c r="A360" s="245" t="s">
        <v>299</v>
      </c>
      <c r="B360" s="126" t="s">
        <v>1884</v>
      </c>
      <c r="C360" s="10">
        <v>44734.04</v>
      </c>
      <c r="D360" s="10">
        <v>44219.81</v>
      </c>
      <c r="E360" s="10">
        <v>46331.06</v>
      </c>
      <c r="F360" s="10">
        <v>47533.98</v>
      </c>
      <c r="G360" s="10">
        <v>49675.69</v>
      </c>
      <c r="H360" s="10">
        <v>49934</v>
      </c>
      <c r="I360" s="10">
        <v>52431</v>
      </c>
    </row>
    <row r="361" spans="1:9" ht="12.75" hidden="1" customHeight="1" x14ac:dyDescent="0.2">
      <c r="A361" s="245" t="s">
        <v>159</v>
      </c>
      <c r="B361" s="126" t="s">
        <v>1972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f t="shared" ref="I361:I376" si="65">+H361</f>
        <v>0</v>
      </c>
    </row>
    <row r="362" spans="1:9" ht="12.75" customHeight="1" x14ac:dyDescent="0.2">
      <c r="A362" s="245" t="s">
        <v>232</v>
      </c>
      <c r="B362" s="126" t="s">
        <v>1904</v>
      </c>
      <c r="C362" s="10">
        <v>50548.81</v>
      </c>
      <c r="D362" s="10">
        <v>45363.22</v>
      </c>
      <c r="E362" s="10">
        <v>51056.639999999999</v>
      </c>
      <c r="F362" s="10">
        <v>55197.25</v>
      </c>
      <c r="G362" s="10">
        <v>59915.12</v>
      </c>
      <c r="H362" s="10">
        <v>63552</v>
      </c>
      <c r="I362" s="10">
        <f>31853+34877</f>
        <v>66730</v>
      </c>
    </row>
    <row r="363" spans="1:9" ht="12.75" customHeight="1" x14ac:dyDescent="0.2">
      <c r="A363" s="245" t="s">
        <v>2529</v>
      </c>
      <c r="B363" s="126" t="s">
        <v>2525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750</v>
      </c>
      <c r="I363" s="10">
        <v>750</v>
      </c>
    </row>
    <row r="364" spans="1:9" ht="12.75" customHeight="1" x14ac:dyDescent="0.2">
      <c r="A364" s="245" t="s">
        <v>233</v>
      </c>
      <c r="B364" s="126" t="s">
        <v>1889</v>
      </c>
      <c r="C364" s="10">
        <v>775.39</v>
      </c>
      <c r="D364" s="10">
        <v>1109.8499999999999</v>
      </c>
      <c r="E364" s="10">
        <v>0</v>
      </c>
      <c r="F364" s="10">
        <v>0</v>
      </c>
      <c r="G364" s="10">
        <v>0</v>
      </c>
      <c r="H364" s="10">
        <v>0</v>
      </c>
      <c r="I364" s="10">
        <v>240</v>
      </c>
    </row>
    <row r="365" spans="1:9" ht="12.75" customHeight="1" x14ac:dyDescent="0.2">
      <c r="A365" s="245" t="s">
        <v>234</v>
      </c>
      <c r="B365" s="126" t="s">
        <v>1891</v>
      </c>
      <c r="C365" s="10">
        <v>7171.47</v>
      </c>
      <c r="D365" s="10">
        <v>6862.88</v>
      </c>
      <c r="E365" s="10">
        <v>7462.21</v>
      </c>
      <c r="F365" s="10">
        <v>7763.05</v>
      </c>
      <c r="G365" s="10">
        <v>8395.3639999999996</v>
      </c>
      <c r="H365" s="10">
        <v>9349.5239999999994</v>
      </c>
      <c r="I365" s="10">
        <v>9802</v>
      </c>
    </row>
    <row r="366" spans="1:9" ht="12.75" customHeight="1" x14ac:dyDescent="0.2">
      <c r="A366" s="245" t="s">
        <v>235</v>
      </c>
      <c r="B366" s="126" t="s">
        <v>1892</v>
      </c>
      <c r="C366" s="10">
        <v>11250.72</v>
      </c>
      <c r="D366" s="10">
        <v>10754.53</v>
      </c>
      <c r="E366" s="10">
        <v>11994.89</v>
      </c>
      <c r="F366" s="10">
        <v>12779.7</v>
      </c>
      <c r="G366" s="10">
        <v>13633.49</v>
      </c>
      <c r="H366" s="10">
        <v>14210.9584</v>
      </c>
      <c r="I366" s="10">
        <v>15952</v>
      </c>
    </row>
    <row r="367" spans="1:9" ht="12.75" customHeight="1" x14ac:dyDescent="0.2">
      <c r="A367" s="245" t="s">
        <v>236</v>
      </c>
      <c r="B367" s="126" t="s">
        <v>1893</v>
      </c>
      <c r="C367" s="10">
        <v>13920</v>
      </c>
      <c r="D367" s="10">
        <v>13064.9</v>
      </c>
      <c r="E367" s="10">
        <v>11700</v>
      </c>
      <c r="F367" s="10">
        <v>15600</v>
      </c>
      <c r="G367" s="10">
        <v>13975</v>
      </c>
      <c r="H367" s="10">
        <v>15835</v>
      </c>
      <c r="I367" s="10">
        <v>7800</v>
      </c>
    </row>
    <row r="368" spans="1:9" ht="12.75" customHeight="1" x14ac:dyDescent="0.2">
      <c r="A368" s="245" t="s">
        <v>237</v>
      </c>
      <c r="B368" s="126" t="s">
        <v>1894</v>
      </c>
      <c r="C368" s="10">
        <v>5000.0600000000004</v>
      </c>
      <c r="D368" s="10">
        <v>4846.21</v>
      </c>
      <c r="E368" s="10">
        <v>5000.0600000000004</v>
      </c>
      <c r="F368" s="10">
        <v>5000.0600000000004</v>
      </c>
      <c r="G368" s="10">
        <v>5344.23</v>
      </c>
      <c r="H368" s="10">
        <v>7500</v>
      </c>
      <c r="I368" s="10">
        <v>7500</v>
      </c>
    </row>
    <row r="369" spans="1:9" ht="12.75" customHeight="1" x14ac:dyDescent="0.2">
      <c r="A369" s="245" t="s">
        <v>173</v>
      </c>
      <c r="B369" s="126" t="s">
        <v>1906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f t="shared" si="65"/>
        <v>0</v>
      </c>
    </row>
    <row r="370" spans="1:9" ht="12.75" customHeight="1" x14ac:dyDescent="0.2">
      <c r="A370" s="245" t="s">
        <v>238</v>
      </c>
      <c r="B370" s="126" t="s">
        <v>1895</v>
      </c>
      <c r="C370" s="10">
        <v>497.64</v>
      </c>
      <c r="D370" s="10">
        <v>1221.06</v>
      </c>
      <c r="E370" s="10">
        <v>2209.36</v>
      </c>
      <c r="F370" s="10">
        <v>1177</v>
      </c>
      <c r="G370" s="10">
        <v>1490.62</v>
      </c>
      <c r="H370" s="10">
        <v>2300</v>
      </c>
      <c r="I370" s="10">
        <f t="shared" si="65"/>
        <v>2300</v>
      </c>
    </row>
    <row r="371" spans="1:9" ht="12.75" customHeight="1" x14ac:dyDescent="0.2">
      <c r="A371" s="245" t="s">
        <v>239</v>
      </c>
      <c r="B371" s="126" t="s">
        <v>1896</v>
      </c>
      <c r="C371" s="10">
        <v>512.54999999999995</v>
      </c>
      <c r="D371" s="10">
        <v>438.19</v>
      </c>
      <c r="E371" s="10">
        <v>1007.1</v>
      </c>
      <c r="F371" s="10">
        <v>589.55999999999995</v>
      </c>
      <c r="G371" s="10">
        <v>952.34</v>
      </c>
      <c r="H371" s="10">
        <v>1100</v>
      </c>
      <c r="I371" s="10">
        <f t="shared" si="65"/>
        <v>1100</v>
      </c>
    </row>
    <row r="372" spans="1:9" ht="12.75" customHeight="1" x14ac:dyDescent="0.2">
      <c r="A372" s="245" t="s">
        <v>240</v>
      </c>
      <c r="B372" s="126" t="s">
        <v>1897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f t="shared" si="65"/>
        <v>0</v>
      </c>
    </row>
    <row r="373" spans="1:9" ht="12.75" customHeight="1" x14ac:dyDescent="0.2">
      <c r="A373" s="245" t="s">
        <v>241</v>
      </c>
      <c r="B373" s="126" t="s">
        <v>1973</v>
      </c>
      <c r="C373" s="10">
        <v>0</v>
      </c>
      <c r="D373" s="10">
        <v>149.9</v>
      </c>
      <c r="E373" s="10">
        <v>2227.85</v>
      </c>
      <c r="F373" s="10">
        <v>1848.14</v>
      </c>
      <c r="G373" s="10">
        <v>904.09</v>
      </c>
      <c r="H373" s="10">
        <v>2500</v>
      </c>
      <c r="I373" s="10">
        <f t="shared" si="65"/>
        <v>2500</v>
      </c>
    </row>
    <row r="374" spans="1:9" ht="12.75" customHeight="1" x14ac:dyDescent="0.2">
      <c r="A374" s="245" t="s">
        <v>242</v>
      </c>
      <c r="B374" s="126" t="s">
        <v>1974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f t="shared" si="65"/>
        <v>0</v>
      </c>
    </row>
    <row r="375" spans="1:9" ht="12.75" customHeight="1" x14ac:dyDescent="0.2">
      <c r="A375" s="245" t="s">
        <v>244</v>
      </c>
      <c r="B375" s="126" t="s">
        <v>1899</v>
      </c>
      <c r="C375" s="10">
        <v>0</v>
      </c>
      <c r="D375" s="10">
        <v>50</v>
      </c>
      <c r="E375" s="10">
        <v>135</v>
      </c>
      <c r="F375" s="10">
        <v>0</v>
      </c>
      <c r="G375" s="10">
        <v>0</v>
      </c>
      <c r="H375" s="10">
        <v>178</v>
      </c>
      <c r="I375" s="10">
        <v>100</v>
      </c>
    </row>
    <row r="376" spans="1:9" ht="12.75" customHeight="1" x14ac:dyDescent="0.2">
      <c r="A376" s="245" t="s">
        <v>245</v>
      </c>
      <c r="B376" s="126" t="s">
        <v>1900</v>
      </c>
      <c r="C376" s="10">
        <v>0</v>
      </c>
      <c r="D376" s="10">
        <v>809.43</v>
      </c>
      <c r="E376" s="10">
        <v>0</v>
      </c>
      <c r="F376" s="10">
        <v>696.91</v>
      </c>
      <c r="G376" s="10">
        <v>1858.35</v>
      </c>
      <c r="H376" s="10">
        <v>2000</v>
      </c>
      <c r="I376" s="10">
        <f t="shared" si="65"/>
        <v>2000</v>
      </c>
    </row>
    <row r="377" spans="1:9" ht="11.85" customHeight="1" x14ac:dyDescent="0.2">
      <c r="A377" s="245"/>
      <c r="B377" s="6" t="s">
        <v>1118</v>
      </c>
      <c r="C377" s="38">
        <f t="shared" ref="C377:G377" si="66">SUM(C360:C376)</f>
        <v>134410.68000000002</v>
      </c>
      <c r="D377" s="38">
        <f t="shared" si="66"/>
        <v>128889.98</v>
      </c>
      <c r="E377" s="38">
        <f t="shared" si="66"/>
        <v>139124.17000000001</v>
      </c>
      <c r="F377" s="38">
        <f t="shared" si="66"/>
        <v>148185.65000000002</v>
      </c>
      <c r="G377" s="38">
        <f t="shared" si="66"/>
        <v>156144.29399999999</v>
      </c>
      <c r="H377" s="38">
        <f t="shared" ref="H377:I377" si="67">SUM(H360:H376)</f>
        <v>169209.48240000001</v>
      </c>
      <c r="I377" s="38">
        <f t="shared" si="67"/>
        <v>169205</v>
      </c>
    </row>
    <row r="378" spans="1:9" ht="11.85" customHeight="1" x14ac:dyDescent="0.2">
      <c r="G378" s="115"/>
      <c r="H378" s="10"/>
      <c r="I378" s="10"/>
    </row>
    <row r="379" spans="1:9" x14ac:dyDescent="0.2">
      <c r="A379" s="245"/>
      <c r="B379" s="4" t="s">
        <v>653</v>
      </c>
      <c r="C379" s="112" t="s">
        <v>1433</v>
      </c>
      <c r="D379" s="112" t="s">
        <v>1433</v>
      </c>
      <c r="E379" s="112" t="s">
        <v>1433</v>
      </c>
      <c r="F379" s="112" t="s">
        <v>1433</v>
      </c>
      <c r="G379" s="222" t="s">
        <v>1433</v>
      </c>
      <c r="H379" s="112" t="s">
        <v>1433</v>
      </c>
      <c r="I379" s="112" t="s">
        <v>1433</v>
      </c>
    </row>
    <row r="380" spans="1:9" x14ac:dyDescent="0.2">
      <c r="A380" s="245"/>
      <c r="B380" s="4" t="s">
        <v>980</v>
      </c>
      <c r="C380" s="112" t="s">
        <v>1433</v>
      </c>
      <c r="D380" s="112" t="s">
        <v>1433</v>
      </c>
      <c r="E380" s="112" t="s">
        <v>1433</v>
      </c>
      <c r="F380" s="112" t="s">
        <v>1433</v>
      </c>
      <c r="G380" s="222" t="s">
        <v>1433</v>
      </c>
      <c r="H380" s="112" t="s">
        <v>1433</v>
      </c>
      <c r="I380" s="112" t="s">
        <v>1433</v>
      </c>
    </row>
    <row r="381" spans="1:9" x14ac:dyDescent="0.2">
      <c r="A381" s="245"/>
      <c r="B381" s="4" t="s">
        <v>138</v>
      </c>
      <c r="C381" s="112" t="s">
        <v>1433</v>
      </c>
      <c r="D381" s="112" t="s">
        <v>1433</v>
      </c>
      <c r="E381" s="112" t="s">
        <v>1433</v>
      </c>
      <c r="F381" s="112" t="s">
        <v>1433</v>
      </c>
      <c r="G381" s="222" t="s">
        <v>1433</v>
      </c>
      <c r="H381" s="112" t="s">
        <v>1433</v>
      </c>
      <c r="I381" s="112" t="s">
        <v>1433</v>
      </c>
    </row>
    <row r="382" spans="1:9" x14ac:dyDescent="0.2">
      <c r="A382" s="245"/>
      <c r="C382" s="129" t="str">
        <f>+$C$4</f>
        <v>2018 ACTUAL</v>
      </c>
      <c r="D382" s="129" t="str">
        <f t="shared" ref="D382:I382" si="68">+D$4</f>
        <v>2019 ACTUAL</v>
      </c>
      <c r="E382" s="129" t="str">
        <f t="shared" si="68"/>
        <v>2020 ACTUAL</v>
      </c>
      <c r="F382" s="129" t="str">
        <f t="shared" si="68"/>
        <v>2021 ACTUAL</v>
      </c>
      <c r="G382" s="223" t="str">
        <f t="shared" si="68"/>
        <v>2022 ACTUAL</v>
      </c>
      <c r="H382" s="129" t="str">
        <f t="shared" si="68"/>
        <v xml:space="preserve">2023 BUDGET </v>
      </c>
      <c r="I382" s="129" t="str">
        <f t="shared" si="68"/>
        <v xml:space="preserve">2024 BUDGET </v>
      </c>
    </row>
    <row r="383" spans="1:9" ht="12.75" customHeight="1" x14ac:dyDescent="0.2">
      <c r="A383" s="251" t="s">
        <v>482</v>
      </c>
      <c r="B383" s="4" t="s">
        <v>250</v>
      </c>
      <c r="G383" s="115"/>
      <c r="H383" s="10"/>
      <c r="I383" s="10"/>
    </row>
    <row r="384" spans="1:9" ht="12.75" customHeight="1" x14ac:dyDescent="0.2">
      <c r="A384" s="245" t="s">
        <v>246</v>
      </c>
      <c r="B384" s="126" t="s">
        <v>1884</v>
      </c>
      <c r="C384" s="10">
        <v>44734.04</v>
      </c>
      <c r="D384" s="10">
        <v>45534.06</v>
      </c>
      <c r="E384" s="10">
        <v>46341.02</v>
      </c>
      <c r="F384" s="10">
        <v>47533.98</v>
      </c>
      <c r="G384" s="10">
        <v>49675.69</v>
      </c>
      <c r="H384" s="10">
        <v>49934</v>
      </c>
      <c r="I384" s="10">
        <v>52431</v>
      </c>
    </row>
    <row r="385" spans="1:9" ht="12.75" customHeight="1" x14ac:dyDescent="0.2">
      <c r="A385" s="245" t="s">
        <v>247</v>
      </c>
      <c r="B385" s="126" t="s">
        <v>1904</v>
      </c>
      <c r="C385" s="18">
        <v>52491.92</v>
      </c>
      <c r="D385" s="18">
        <v>54091.96</v>
      </c>
      <c r="E385" s="18">
        <v>55685.84</v>
      </c>
      <c r="F385" s="18">
        <v>59243.6</v>
      </c>
      <c r="G385" s="18">
        <v>62838.62</v>
      </c>
      <c r="H385" s="10">
        <v>64044</v>
      </c>
      <c r="I385" s="10">
        <f>31853+34243</f>
        <v>66096</v>
      </c>
    </row>
    <row r="386" spans="1:9" ht="12.75" customHeight="1" x14ac:dyDescent="0.2">
      <c r="A386" s="245" t="s">
        <v>2530</v>
      </c>
      <c r="B386" s="126" t="s">
        <v>2525</v>
      </c>
      <c r="C386" s="18">
        <v>0</v>
      </c>
      <c r="D386" s="18">
        <v>0</v>
      </c>
      <c r="E386" s="18">
        <v>0</v>
      </c>
      <c r="F386" s="18">
        <v>0</v>
      </c>
      <c r="G386" s="18">
        <v>0</v>
      </c>
      <c r="H386" s="10">
        <v>750</v>
      </c>
      <c r="I386" s="10">
        <v>750</v>
      </c>
    </row>
    <row r="387" spans="1:9" ht="12.75" customHeight="1" x14ac:dyDescent="0.2">
      <c r="A387" s="245" t="s">
        <v>248</v>
      </c>
      <c r="B387" s="126" t="s">
        <v>1889</v>
      </c>
      <c r="C387" s="18">
        <v>475.34</v>
      </c>
      <c r="D387" s="18">
        <v>1345.46</v>
      </c>
      <c r="E387" s="18">
        <v>1553.33</v>
      </c>
      <c r="F387" s="18">
        <v>1732.76</v>
      </c>
      <c r="G387" s="18">
        <v>1986.75</v>
      </c>
      <c r="H387" s="10">
        <v>2100</v>
      </c>
      <c r="I387" s="10">
        <v>1680</v>
      </c>
    </row>
    <row r="388" spans="1:9" ht="12.75" customHeight="1" x14ac:dyDescent="0.2">
      <c r="A388" s="245" t="s">
        <v>249</v>
      </c>
      <c r="B388" s="126" t="s">
        <v>1891</v>
      </c>
      <c r="C388" s="18">
        <v>7520.57</v>
      </c>
      <c r="D388" s="18">
        <v>7761.74</v>
      </c>
      <c r="E388" s="18">
        <v>7966.4</v>
      </c>
      <c r="F388" s="18">
        <v>8346.3700000000008</v>
      </c>
      <c r="G388" s="18">
        <v>8931.43</v>
      </c>
      <c r="H388" s="10">
        <v>9547.8119999999999</v>
      </c>
      <c r="I388" s="10">
        <v>9864</v>
      </c>
    </row>
    <row r="389" spans="1:9" ht="12.75" customHeight="1" x14ac:dyDescent="0.2">
      <c r="A389" s="245" t="s">
        <v>251</v>
      </c>
      <c r="B389" s="126" t="s">
        <v>1892</v>
      </c>
      <c r="C389" s="18">
        <v>11442.16</v>
      </c>
      <c r="D389" s="18">
        <v>11983.26</v>
      </c>
      <c r="E389" s="18">
        <v>12752.67</v>
      </c>
      <c r="F389" s="18">
        <v>13500.34</v>
      </c>
      <c r="G389" s="18">
        <v>14240.62</v>
      </c>
      <c r="H389" s="10">
        <v>14533.403199999999</v>
      </c>
      <c r="I389" s="10">
        <v>16053</v>
      </c>
    </row>
    <row r="390" spans="1:9" ht="12.75" customHeight="1" x14ac:dyDescent="0.2">
      <c r="A390" s="245" t="s">
        <v>252</v>
      </c>
      <c r="B390" s="126" t="s">
        <v>1893</v>
      </c>
      <c r="C390" s="10">
        <v>20880</v>
      </c>
      <c r="D390" s="10">
        <v>23295</v>
      </c>
      <c r="E390" s="10">
        <v>23400</v>
      </c>
      <c r="F390" s="10">
        <v>23400</v>
      </c>
      <c r="G390" s="10">
        <v>23400</v>
      </c>
      <c r="H390" s="10">
        <v>23635</v>
      </c>
      <c r="I390" s="10">
        <v>23400</v>
      </c>
    </row>
    <row r="391" spans="1:9" ht="12.75" customHeight="1" x14ac:dyDescent="0.2">
      <c r="A391" s="245" t="s">
        <v>253</v>
      </c>
      <c r="B391" s="126" t="s">
        <v>1894</v>
      </c>
      <c r="C391" s="10">
        <v>3675.1</v>
      </c>
      <c r="D391" s="10">
        <v>3675.1</v>
      </c>
      <c r="E391" s="10">
        <v>3675.1</v>
      </c>
      <c r="F391" s="10">
        <v>3675.1</v>
      </c>
      <c r="G391" s="10">
        <v>5344.23</v>
      </c>
      <c r="H391" s="10">
        <v>7500</v>
      </c>
      <c r="I391" s="10">
        <v>7500</v>
      </c>
    </row>
    <row r="392" spans="1:9" ht="12.75" customHeight="1" x14ac:dyDescent="0.2">
      <c r="A392" s="245" t="s">
        <v>174</v>
      </c>
      <c r="B392" s="126" t="s">
        <v>1906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f t="shared" ref="I392:I395" si="69">+H392</f>
        <v>0</v>
      </c>
    </row>
    <row r="393" spans="1:9" ht="12.75" customHeight="1" x14ac:dyDescent="0.2">
      <c r="A393" s="245" t="s">
        <v>254</v>
      </c>
      <c r="B393" s="126" t="s">
        <v>1895</v>
      </c>
      <c r="C393" s="10">
        <v>1354.95</v>
      </c>
      <c r="D393" s="10">
        <v>1711.14</v>
      </c>
      <c r="E393" s="10">
        <v>911.73</v>
      </c>
      <c r="F393" s="10">
        <v>713.71</v>
      </c>
      <c r="G393" s="10">
        <v>920.47</v>
      </c>
      <c r="H393" s="10">
        <v>1500</v>
      </c>
      <c r="I393" s="10">
        <v>2500</v>
      </c>
    </row>
    <row r="394" spans="1:9" ht="12.75" customHeight="1" x14ac:dyDescent="0.2">
      <c r="A394" s="245" t="s">
        <v>255</v>
      </c>
      <c r="B394" s="126" t="s">
        <v>1896</v>
      </c>
      <c r="C394" s="10">
        <v>626.69000000000005</v>
      </c>
      <c r="D394" s="10">
        <v>614.59</v>
      </c>
      <c r="E394" s="10">
        <v>442.2</v>
      </c>
      <c r="F394" s="10">
        <v>503.83</v>
      </c>
      <c r="G394" s="10">
        <v>506.36</v>
      </c>
      <c r="H394" s="10">
        <v>800</v>
      </c>
      <c r="I394" s="10">
        <f t="shared" si="69"/>
        <v>800</v>
      </c>
    </row>
    <row r="395" spans="1:9" ht="12.75" customHeight="1" x14ac:dyDescent="0.2">
      <c r="A395" s="245" t="s">
        <v>269</v>
      </c>
      <c r="B395" s="126" t="s">
        <v>1973</v>
      </c>
      <c r="C395" s="10">
        <v>1068.56</v>
      </c>
      <c r="D395" s="10">
        <v>100</v>
      </c>
      <c r="E395" s="10">
        <v>0</v>
      </c>
      <c r="F395" s="10">
        <v>1049.46</v>
      </c>
      <c r="G395" s="10">
        <v>1450.28</v>
      </c>
      <c r="H395" s="10">
        <v>2000</v>
      </c>
      <c r="I395" s="10">
        <f t="shared" si="69"/>
        <v>2000</v>
      </c>
    </row>
    <row r="396" spans="1:9" ht="12.75" customHeight="1" x14ac:dyDescent="0.2">
      <c r="A396" s="245" t="s">
        <v>256</v>
      </c>
      <c r="B396" s="126" t="s">
        <v>1899</v>
      </c>
      <c r="C396" s="10">
        <v>0</v>
      </c>
      <c r="D396" s="10">
        <v>178</v>
      </c>
      <c r="E396" s="10">
        <v>0</v>
      </c>
      <c r="F396" s="10">
        <v>0</v>
      </c>
      <c r="G396" s="10">
        <v>0</v>
      </c>
      <c r="H396" s="10">
        <v>178</v>
      </c>
      <c r="I396" s="10">
        <v>0</v>
      </c>
    </row>
    <row r="397" spans="1:9" ht="12.75" customHeight="1" x14ac:dyDescent="0.2">
      <c r="A397" s="245" t="s">
        <v>257</v>
      </c>
      <c r="B397" s="126" t="s">
        <v>1900</v>
      </c>
      <c r="C397" s="10">
        <v>0</v>
      </c>
      <c r="D397" s="10">
        <v>0</v>
      </c>
      <c r="E397" s="10">
        <v>0</v>
      </c>
      <c r="F397" s="10">
        <v>308.94</v>
      </c>
      <c r="G397" s="10">
        <v>0</v>
      </c>
      <c r="H397" s="10">
        <v>1000</v>
      </c>
      <c r="I397" s="10">
        <v>1500</v>
      </c>
    </row>
    <row r="398" spans="1:9" ht="12.75" customHeight="1" x14ac:dyDescent="0.2">
      <c r="A398" s="245"/>
      <c r="B398" s="6" t="s">
        <v>1118</v>
      </c>
      <c r="C398" s="38">
        <f t="shared" ref="C398:G398" si="70">SUM(C384:C397)</f>
        <v>144269.33000000002</v>
      </c>
      <c r="D398" s="38">
        <f t="shared" si="70"/>
        <v>150290.31</v>
      </c>
      <c r="E398" s="38">
        <f t="shared" si="70"/>
        <v>152728.29</v>
      </c>
      <c r="F398" s="38">
        <f t="shared" si="70"/>
        <v>160008.08999999997</v>
      </c>
      <c r="G398" s="38">
        <f t="shared" si="70"/>
        <v>169294.44999999998</v>
      </c>
      <c r="H398" s="38">
        <f t="shared" ref="H398:I398" si="71">SUM(H384:H397)</f>
        <v>177522.21520000001</v>
      </c>
      <c r="I398" s="38">
        <f t="shared" si="71"/>
        <v>184574</v>
      </c>
    </row>
    <row r="399" spans="1:9" ht="12.75" customHeight="1" x14ac:dyDescent="0.2">
      <c r="A399" s="245"/>
      <c r="B399" s="6"/>
      <c r="C399" s="10"/>
      <c r="E399" s="10"/>
      <c r="G399" s="10"/>
      <c r="H399" s="10"/>
      <c r="I399" s="10"/>
    </row>
    <row r="400" spans="1:9" ht="12.75" customHeight="1" x14ac:dyDescent="0.2">
      <c r="A400" s="251" t="s">
        <v>258</v>
      </c>
      <c r="B400" s="4" t="s">
        <v>863</v>
      </c>
      <c r="C400" s="10"/>
      <c r="E400" s="10"/>
      <c r="G400" s="10"/>
      <c r="H400" s="10"/>
      <c r="I400" s="10"/>
    </row>
    <row r="401" spans="1:9" ht="12.75" customHeight="1" x14ac:dyDescent="0.2">
      <c r="A401" s="245" t="s">
        <v>259</v>
      </c>
      <c r="B401" s="126" t="s">
        <v>1884</v>
      </c>
      <c r="C401" s="10">
        <v>44734.04</v>
      </c>
      <c r="D401" s="10">
        <v>45534.06</v>
      </c>
      <c r="E401" s="10">
        <v>46331.01</v>
      </c>
      <c r="F401" s="10">
        <v>47533.98</v>
      </c>
      <c r="G401" s="10">
        <v>49915.69</v>
      </c>
      <c r="H401" s="10">
        <v>49934</v>
      </c>
      <c r="I401" s="10">
        <v>52431</v>
      </c>
    </row>
    <row r="402" spans="1:9" ht="12.75" customHeight="1" x14ac:dyDescent="0.2">
      <c r="A402" s="245" t="s">
        <v>260</v>
      </c>
      <c r="B402" s="126" t="s">
        <v>1904</v>
      </c>
      <c r="C402" s="17">
        <v>61137.87</v>
      </c>
      <c r="D402" s="17">
        <v>62408.12</v>
      </c>
      <c r="E402" s="17">
        <v>65424.08</v>
      </c>
      <c r="F402" s="17">
        <v>67010.31</v>
      </c>
      <c r="G402" s="17">
        <v>62176.959999999999</v>
      </c>
      <c r="H402" s="10">
        <v>62948</v>
      </c>
      <c r="I402" s="10">
        <f>34243+31853</f>
        <v>66096</v>
      </c>
    </row>
    <row r="403" spans="1:9" ht="12.75" customHeight="1" x14ac:dyDescent="0.2">
      <c r="A403" s="245" t="s">
        <v>2531</v>
      </c>
      <c r="B403" s="126" t="s">
        <v>2525</v>
      </c>
      <c r="C403" s="18">
        <v>0</v>
      </c>
      <c r="D403" s="18">
        <v>0</v>
      </c>
      <c r="E403" s="18">
        <v>0</v>
      </c>
      <c r="F403" s="18">
        <v>0</v>
      </c>
      <c r="G403" s="18">
        <v>0</v>
      </c>
      <c r="H403" s="10">
        <v>750</v>
      </c>
      <c r="I403" s="10">
        <v>750</v>
      </c>
    </row>
    <row r="404" spans="1:9" ht="12.75" customHeight="1" x14ac:dyDescent="0.2">
      <c r="A404" s="245" t="s">
        <v>261</v>
      </c>
      <c r="B404" s="126" t="s">
        <v>1889</v>
      </c>
      <c r="C404" s="10">
        <v>1313.1</v>
      </c>
      <c r="D404" s="10">
        <v>2210.9</v>
      </c>
      <c r="E404" s="10">
        <v>2692.92</v>
      </c>
      <c r="F404" s="10">
        <v>2840.78</v>
      </c>
      <c r="G404" s="10">
        <v>2238.54</v>
      </c>
      <c r="H404" s="10">
        <v>2280</v>
      </c>
      <c r="I404" s="10">
        <v>960</v>
      </c>
    </row>
    <row r="405" spans="1:9" ht="12.75" customHeight="1" x14ac:dyDescent="0.2">
      <c r="A405" s="245" t="s">
        <v>262</v>
      </c>
      <c r="B405" s="126" t="s">
        <v>1891</v>
      </c>
      <c r="C405" s="10">
        <v>8159.74</v>
      </c>
      <c r="D405" s="10">
        <v>8255.4500000000007</v>
      </c>
      <c r="E405" s="10">
        <v>8662.93</v>
      </c>
      <c r="F405" s="10">
        <v>8928.27</v>
      </c>
      <c r="G405" s="10">
        <v>8615.98</v>
      </c>
      <c r="H405" s="10">
        <v>9477.7379999999994</v>
      </c>
      <c r="I405" s="10">
        <f>SUM(I400:I404)*0.0765+480*0.0765+I408*0.0765</f>
        <v>9808.6004999999986</v>
      </c>
    </row>
    <row r="406" spans="1:9" ht="12.75" customHeight="1" x14ac:dyDescent="0.2">
      <c r="A406" s="245" t="s">
        <v>263</v>
      </c>
      <c r="B406" s="126" t="s">
        <v>1892</v>
      </c>
      <c r="C406" s="10">
        <v>12553</v>
      </c>
      <c r="D406" s="10">
        <v>13082.09</v>
      </c>
      <c r="E406" s="10">
        <v>14091.61</v>
      </c>
      <c r="F406" s="10">
        <v>14589.7</v>
      </c>
      <c r="G406" s="10">
        <v>14184.3</v>
      </c>
      <c r="H406" s="10">
        <v>14419.452799999999</v>
      </c>
      <c r="I406" s="10">
        <v>15963</v>
      </c>
    </row>
    <row r="407" spans="1:9" ht="12.75" customHeight="1" x14ac:dyDescent="0.2">
      <c r="A407" s="245" t="s">
        <v>264</v>
      </c>
      <c r="B407" s="126" t="s">
        <v>1893</v>
      </c>
      <c r="C407" s="10">
        <v>20851.23</v>
      </c>
      <c r="D407" s="10">
        <v>22835.1</v>
      </c>
      <c r="E407" s="10">
        <v>23400</v>
      </c>
      <c r="F407" s="10">
        <v>22750</v>
      </c>
      <c r="G407" s="10">
        <v>21450</v>
      </c>
      <c r="H407" s="10">
        <v>23635</v>
      </c>
      <c r="I407" s="10">
        <v>23400</v>
      </c>
    </row>
    <row r="408" spans="1:9" ht="12.75" customHeight="1" x14ac:dyDescent="0.2">
      <c r="A408" s="245" t="s">
        <v>265</v>
      </c>
      <c r="B408" s="126" t="s">
        <v>1894</v>
      </c>
      <c r="C408" s="10">
        <v>4000.1</v>
      </c>
      <c r="D408" s="10">
        <v>4000.1</v>
      </c>
      <c r="E408" s="10">
        <v>3846.25</v>
      </c>
      <c r="F408" s="10">
        <v>4000.1</v>
      </c>
      <c r="G408" s="10">
        <v>5144.2299999999996</v>
      </c>
      <c r="H408" s="10">
        <v>7500</v>
      </c>
      <c r="I408" s="10">
        <v>7500</v>
      </c>
    </row>
    <row r="409" spans="1:9" ht="12.75" customHeight="1" x14ac:dyDescent="0.2">
      <c r="A409" s="245" t="s">
        <v>176</v>
      </c>
      <c r="B409" s="126" t="s">
        <v>1906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f t="shared" ref="I409:I413" si="72">+H409</f>
        <v>0</v>
      </c>
    </row>
    <row r="410" spans="1:9" ht="12.75" customHeight="1" x14ac:dyDescent="0.2">
      <c r="A410" s="245" t="s">
        <v>266</v>
      </c>
      <c r="B410" s="126" t="s">
        <v>1895</v>
      </c>
      <c r="C410" s="10">
        <v>2117.09</v>
      </c>
      <c r="D410" s="10">
        <v>1678.2</v>
      </c>
      <c r="E410" s="10">
        <v>2313.4499999999998</v>
      </c>
      <c r="F410" s="10">
        <v>703.93</v>
      </c>
      <c r="G410" s="10">
        <v>2587.62</v>
      </c>
      <c r="H410" s="10">
        <v>2500</v>
      </c>
      <c r="I410" s="10">
        <f t="shared" si="72"/>
        <v>2500</v>
      </c>
    </row>
    <row r="411" spans="1:9" ht="12.75" customHeight="1" x14ac:dyDescent="0.2">
      <c r="A411" s="245" t="s">
        <v>267</v>
      </c>
      <c r="B411" s="126" t="s">
        <v>1896</v>
      </c>
      <c r="C411" s="10">
        <v>1275.81</v>
      </c>
      <c r="D411" s="10">
        <v>1175.74</v>
      </c>
      <c r="E411" s="10">
        <v>1365.7</v>
      </c>
      <c r="F411" s="10">
        <v>663.02</v>
      </c>
      <c r="G411" s="10">
        <v>943.42</v>
      </c>
      <c r="H411" s="10">
        <v>1500</v>
      </c>
      <c r="I411" s="10">
        <f t="shared" si="72"/>
        <v>1500</v>
      </c>
    </row>
    <row r="412" spans="1:9" ht="12.75" customHeight="1" x14ac:dyDescent="0.2">
      <c r="A412" s="245" t="s">
        <v>175</v>
      </c>
      <c r="B412" s="126" t="s">
        <v>1897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f t="shared" si="72"/>
        <v>0</v>
      </c>
    </row>
    <row r="413" spans="1:9" ht="12.75" customHeight="1" x14ac:dyDescent="0.2">
      <c r="A413" s="245" t="s">
        <v>268</v>
      </c>
      <c r="B413" s="126" t="s">
        <v>1973</v>
      </c>
      <c r="C413" s="10">
        <v>135</v>
      </c>
      <c r="D413" s="10">
        <v>757.13</v>
      </c>
      <c r="E413" s="10">
        <v>153.85</v>
      </c>
      <c r="F413" s="10">
        <v>100</v>
      </c>
      <c r="G413" s="10">
        <v>675.76</v>
      </c>
      <c r="H413" s="10">
        <v>1000</v>
      </c>
      <c r="I413" s="10">
        <f t="shared" si="72"/>
        <v>1000</v>
      </c>
    </row>
    <row r="414" spans="1:9" ht="12.75" customHeight="1" x14ac:dyDescent="0.2">
      <c r="A414" s="245" t="s">
        <v>270</v>
      </c>
      <c r="B414" s="126" t="s">
        <v>1899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178</v>
      </c>
      <c r="I414" s="10">
        <v>0</v>
      </c>
    </row>
    <row r="415" spans="1:9" ht="12.75" customHeight="1" x14ac:dyDescent="0.2">
      <c r="A415" s="245" t="s">
        <v>180</v>
      </c>
      <c r="B415" s="126" t="s">
        <v>1878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f t="shared" ref="I415" si="73">+H415</f>
        <v>0</v>
      </c>
    </row>
    <row r="416" spans="1:9" ht="12.75" customHeight="1" x14ac:dyDescent="0.2">
      <c r="A416" s="245" t="s">
        <v>271</v>
      </c>
      <c r="B416" s="126" t="s">
        <v>1900</v>
      </c>
      <c r="C416" s="10">
        <v>0</v>
      </c>
      <c r="D416" s="10">
        <v>0</v>
      </c>
      <c r="E416" s="10">
        <v>0</v>
      </c>
      <c r="F416" s="10">
        <v>1497.24</v>
      </c>
      <c r="G416" s="10">
        <v>0</v>
      </c>
      <c r="H416" s="10">
        <v>800</v>
      </c>
      <c r="I416" s="10">
        <v>1200</v>
      </c>
    </row>
    <row r="417" spans="1:9" x14ac:dyDescent="0.2">
      <c r="A417" s="245"/>
      <c r="B417" s="6" t="s">
        <v>1118</v>
      </c>
      <c r="C417" s="38">
        <f t="shared" ref="C417:G417" si="74">SUM(C401:C416)</f>
        <v>156276.98000000001</v>
      </c>
      <c r="D417" s="38">
        <f t="shared" si="74"/>
        <v>161936.89000000001</v>
      </c>
      <c r="E417" s="38">
        <f t="shared" si="74"/>
        <v>168281.80000000002</v>
      </c>
      <c r="F417" s="38">
        <f t="shared" si="74"/>
        <v>170617.33</v>
      </c>
      <c r="G417" s="38">
        <f t="shared" si="74"/>
        <v>167932.5</v>
      </c>
      <c r="H417" s="38">
        <f t="shared" ref="H417:I417" si="75">SUM(H401:H416)</f>
        <v>176922.19079999998</v>
      </c>
      <c r="I417" s="38">
        <f t="shared" si="75"/>
        <v>183108.6005</v>
      </c>
    </row>
    <row r="418" spans="1:9" x14ac:dyDescent="0.2">
      <c r="A418" s="245"/>
      <c r="B418" s="6"/>
      <c r="C418" s="10"/>
      <c r="E418" s="10"/>
      <c r="G418" s="10"/>
      <c r="H418" s="10"/>
      <c r="I418" s="10"/>
    </row>
    <row r="419" spans="1:9" x14ac:dyDescent="0.2">
      <c r="A419" s="251" t="s">
        <v>865</v>
      </c>
      <c r="B419" s="4" t="s">
        <v>864</v>
      </c>
      <c r="C419" s="10"/>
      <c r="E419" s="10"/>
      <c r="G419" s="10"/>
      <c r="H419" s="10"/>
      <c r="I419" s="10"/>
    </row>
    <row r="420" spans="1:9" x14ac:dyDescent="0.2">
      <c r="A420" s="245" t="s">
        <v>335</v>
      </c>
      <c r="B420" s="126" t="s">
        <v>1884</v>
      </c>
      <c r="C420" s="10">
        <v>44734.04</v>
      </c>
      <c r="D420" s="10">
        <v>45534.06</v>
      </c>
      <c r="E420" s="10">
        <v>46331.01</v>
      </c>
      <c r="F420" s="10">
        <v>47533.98</v>
      </c>
      <c r="G420" s="10">
        <v>49675.69</v>
      </c>
      <c r="H420" s="10">
        <v>49934</v>
      </c>
      <c r="I420" s="10">
        <v>52431</v>
      </c>
    </row>
    <row r="421" spans="1:9" x14ac:dyDescent="0.2">
      <c r="A421" s="245" t="s">
        <v>336</v>
      </c>
      <c r="B421" s="126" t="s">
        <v>1904</v>
      </c>
      <c r="C421" s="10">
        <v>59323.42</v>
      </c>
      <c r="D421" s="10">
        <v>58967.38</v>
      </c>
      <c r="E421" s="10">
        <v>63289.84</v>
      </c>
      <c r="F421" s="10">
        <v>65707.839999999997</v>
      </c>
      <c r="G421" s="10">
        <v>70223.56</v>
      </c>
      <c r="H421" s="10">
        <v>71839</v>
      </c>
      <c r="I421" s="10">
        <f>43003+32428</f>
        <v>75431</v>
      </c>
    </row>
    <row r="422" spans="1:9" x14ac:dyDescent="0.2">
      <c r="A422" s="245" t="s">
        <v>2532</v>
      </c>
      <c r="B422" s="126" t="s">
        <v>2525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750</v>
      </c>
      <c r="I422" s="10">
        <v>750</v>
      </c>
    </row>
    <row r="423" spans="1:9" x14ac:dyDescent="0.2">
      <c r="A423" s="245" t="s">
        <v>155</v>
      </c>
      <c r="B423" s="126" t="s">
        <v>1889</v>
      </c>
      <c r="C423" s="10">
        <v>1919.84</v>
      </c>
      <c r="D423" s="10">
        <v>2999.86</v>
      </c>
      <c r="E423" s="10">
        <v>2999.88</v>
      </c>
      <c r="F423" s="10">
        <v>2999.88</v>
      </c>
      <c r="G423" s="10">
        <v>3115.26</v>
      </c>
      <c r="H423" s="10">
        <v>3180</v>
      </c>
      <c r="I423" s="10">
        <v>3240</v>
      </c>
    </row>
    <row r="424" spans="1:9" x14ac:dyDescent="0.2">
      <c r="A424" s="245" t="s">
        <v>157</v>
      </c>
      <c r="B424" s="126" t="s">
        <v>1891</v>
      </c>
      <c r="C424" s="18">
        <v>8159.5</v>
      </c>
      <c r="D424" s="18">
        <v>8253.44</v>
      </c>
      <c r="E424" s="18">
        <v>8651.5</v>
      </c>
      <c r="F424" s="18">
        <v>8891.7199999999993</v>
      </c>
      <c r="G424" s="18">
        <v>9423.85</v>
      </c>
      <c r="H424" s="10">
        <v>10226.7495</v>
      </c>
      <c r="I424" s="10">
        <f>SUM(I420:I423)*0.0765+I427*0.0765+480*0.0765</f>
        <v>10697.147999999999</v>
      </c>
    </row>
    <row r="425" spans="1:9" x14ac:dyDescent="0.2">
      <c r="A425" s="245" t="s">
        <v>158</v>
      </c>
      <c r="B425" s="126" t="s">
        <v>1892</v>
      </c>
      <c r="C425" s="10">
        <v>12410.9</v>
      </c>
      <c r="D425" s="10">
        <v>12758.25</v>
      </c>
      <c r="E425" s="10">
        <v>13864.26</v>
      </c>
      <c r="F425" s="10">
        <v>14460.62</v>
      </c>
      <c r="G425" s="10">
        <v>15296.17</v>
      </c>
      <c r="H425" s="10">
        <v>15637.4532</v>
      </c>
      <c r="I425" s="10">
        <v>17409</v>
      </c>
    </row>
    <row r="426" spans="1:9" x14ac:dyDescent="0.2">
      <c r="A426" s="245" t="s">
        <v>973</v>
      </c>
      <c r="B426" s="126" t="s">
        <v>1893</v>
      </c>
      <c r="C426" s="10">
        <v>13920</v>
      </c>
      <c r="D426" s="10">
        <v>19542.240000000002</v>
      </c>
      <c r="E426" s="10">
        <v>22264.23</v>
      </c>
      <c r="F426" s="10">
        <v>23400</v>
      </c>
      <c r="G426" s="10">
        <v>23291.040000000001</v>
      </c>
      <c r="H426" s="10">
        <v>23635</v>
      </c>
      <c r="I426" s="10">
        <v>23400</v>
      </c>
    </row>
    <row r="427" spans="1:9" x14ac:dyDescent="0.2">
      <c r="A427" s="245" t="s">
        <v>156</v>
      </c>
      <c r="B427" s="126" t="s">
        <v>1894</v>
      </c>
      <c r="C427" s="18">
        <v>4500.08</v>
      </c>
      <c r="D427" s="18">
        <v>4500.08</v>
      </c>
      <c r="E427" s="18">
        <v>4500.08</v>
      </c>
      <c r="F427" s="18">
        <v>4500.08</v>
      </c>
      <c r="G427" s="18">
        <v>5344.23</v>
      </c>
      <c r="H427" s="10">
        <v>7500</v>
      </c>
      <c r="I427" s="10">
        <v>7500</v>
      </c>
    </row>
    <row r="428" spans="1:9" x14ac:dyDescent="0.2">
      <c r="A428" s="245" t="s">
        <v>177</v>
      </c>
      <c r="B428" s="126" t="s">
        <v>1906</v>
      </c>
      <c r="C428" s="18">
        <v>0</v>
      </c>
      <c r="D428" s="18">
        <v>0</v>
      </c>
      <c r="E428" s="18">
        <v>0</v>
      </c>
      <c r="F428" s="18">
        <v>0</v>
      </c>
      <c r="G428" s="18">
        <v>0</v>
      </c>
      <c r="H428" s="10">
        <v>0</v>
      </c>
      <c r="I428" s="10">
        <f t="shared" ref="I428:I433" si="76">+H428</f>
        <v>0</v>
      </c>
    </row>
    <row r="429" spans="1:9" x14ac:dyDescent="0.2">
      <c r="A429" s="245" t="s">
        <v>974</v>
      </c>
      <c r="B429" s="126" t="s">
        <v>1895</v>
      </c>
      <c r="C429" s="10">
        <v>2063.2800000000002</v>
      </c>
      <c r="D429" s="10">
        <v>2075.17</v>
      </c>
      <c r="E429" s="10">
        <v>2534.48</v>
      </c>
      <c r="F429" s="10">
        <v>2606.38</v>
      </c>
      <c r="G429" s="10">
        <v>2820.5</v>
      </c>
      <c r="H429" s="10">
        <v>2300</v>
      </c>
      <c r="I429" s="10">
        <v>2300</v>
      </c>
    </row>
    <row r="430" spans="1:9" x14ac:dyDescent="0.2">
      <c r="A430" s="245" t="s">
        <v>975</v>
      </c>
      <c r="B430" s="126" t="s">
        <v>1896</v>
      </c>
      <c r="C430" s="10">
        <v>1174.19</v>
      </c>
      <c r="D430" s="10">
        <v>1307.5899999999999</v>
      </c>
      <c r="E430" s="10">
        <v>884.55</v>
      </c>
      <c r="F430" s="10">
        <v>636.63</v>
      </c>
      <c r="G430" s="10">
        <v>1238.48</v>
      </c>
      <c r="H430" s="10">
        <v>1300</v>
      </c>
      <c r="I430" s="10">
        <v>1600</v>
      </c>
    </row>
    <row r="431" spans="1:9" x14ac:dyDescent="0.2">
      <c r="A431" s="245" t="s">
        <v>976</v>
      </c>
      <c r="B431" s="126" t="s">
        <v>1897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f t="shared" si="76"/>
        <v>0</v>
      </c>
    </row>
    <row r="432" spans="1:9" x14ac:dyDescent="0.2">
      <c r="A432" s="245" t="s">
        <v>150</v>
      </c>
      <c r="B432" s="126" t="s">
        <v>1973</v>
      </c>
      <c r="C432" s="18">
        <v>1269.8499999999999</v>
      </c>
      <c r="D432" s="18">
        <v>1635.66</v>
      </c>
      <c r="E432" s="18">
        <v>764.96</v>
      </c>
      <c r="F432" s="18">
        <v>1114.4100000000001</v>
      </c>
      <c r="G432" s="18">
        <v>691.72</v>
      </c>
      <c r="H432" s="10">
        <v>1700</v>
      </c>
      <c r="I432" s="10">
        <v>1700</v>
      </c>
    </row>
    <row r="433" spans="1:9" x14ac:dyDescent="0.2">
      <c r="A433" s="245" t="s">
        <v>151</v>
      </c>
      <c r="B433" s="126" t="s">
        <v>1899</v>
      </c>
      <c r="C433" s="10">
        <v>0</v>
      </c>
      <c r="D433" s="10">
        <v>0</v>
      </c>
      <c r="E433" s="10">
        <v>0</v>
      </c>
      <c r="F433" s="10">
        <v>178</v>
      </c>
      <c r="G433" s="10">
        <v>0</v>
      </c>
      <c r="H433" s="10">
        <v>0</v>
      </c>
      <c r="I433" s="10">
        <f t="shared" si="76"/>
        <v>0</v>
      </c>
    </row>
    <row r="434" spans="1:9" x14ac:dyDescent="0.2">
      <c r="A434" s="245" t="s">
        <v>152</v>
      </c>
      <c r="B434" s="126" t="s">
        <v>1900</v>
      </c>
      <c r="C434" s="18">
        <v>0</v>
      </c>
      <c r="D434" s="18">
        <v>0</v>
      </c>
      <c r="E434" s="18">
        <v>0</v>
      </c>
      <c r="F434" s="18">
        <v>308.94</v>
      </c>
      <c r="G434" s="18">
        <v>0</v>
      </c>
      <c r="H434" s="10">
        <v>500</v>
      </c>
      <c r="I434" s="10">
        <v>1200</v>
      </c>
    </row>
    <row r="435" spans="1:9" x14ac:dyDescent="0.2">
      <c r="A435" s="245"/>
      <c r="B435" s="6" t="s">
        <v>1118</v>
      </c>
      <c r="C435" s="38">
        <f t="shared" ref="C435:G435" si="77">SUM(C420:C434)</f>
        <v>149475.09999999998</v>
      </c>
      <c r="D435" s="38">
        <f t="shared" si="77"/>
        <v>157573.73000000001</v>
      </c>
      <c r="E435" s="38">
        <f t="shared" si="77"/>
        <v>166084.79</v>
      </c>
      <c r="F435" s="38">
        <f t="shared" si="77"/>
        <v>172338.48</v>
      </c>
      <c r="G435" s="38">
        <f t="shared" si="77"/>
        <v>181120.50000000003</v>
      </c>
      <c r="H435" s="38">
        <f t="shared" ref="H435:I435" si="78">SUM(H420:H434)</f>
        <v>188502.20269999999</v>
      </c>
      <c r="I435" s="38">
        <f t="shared" si="78"/>
        <v>197658.14799999999</v>
      </c>
    </row>
    <row r="436" spans="1:9" x14ac:dyDescent="0.2">
      <c r="A436" s="245"/>
      <c r="B436" s="4" t="s">
        <v>653</v>
      </c>
      <c r="C436" s="112" t="s">
        <v>1433</v>
      </c>
      <c r="D436" s="112" t="s">
        <v>1433</v>
      </c>
      <c r="E436" s="112" t="s">
        <v>1433</v>
      </c>
      <c r="F436" s="112" t="s">
        <v>1433</v>
      </c>
      <c r="G436" s="222" t="s">
        <v>1433</v>
      </c>
      <c r="H436" s="112" t="s">
        <v>1433</v>
      </c>
      <c r="I436" s="112" t="s">
        <v>1433</v>
      </c>
    </row>
    <row r="437" spans="1:9" x14ac:dyDescent="0.2">
      <c r="A437" s="245"/>
      <c r="B437" s="4" t="s">
        <v>980</v>
      </c>
      <c r="C437" s="112" t="s">
        <v>1433</v>
      </c>
      <c r="D437" s="112" t="s">
        <v>1433</v>
      </c>
      <c r="E437" s="112" t="s">
        <v>1433</v>
      </c>
      <c r="F437" s="112" t="s">
        <v>1433</v>
      </c>
      <c r="G437" s="222" t="s">
        <v>1433</v>
      </c>
      <c r="H437" s="112" t="s">
        <v>1433</v>
      </c>
      <c r="I437" s="112" t="s">
        <v>1433</v>
      </c>
    </row>
    <row r="438" spans="1:9" x14ac:dyDescent="0.2">
      <c r="A438" s="245"/>
      <c r="B438" s="4" t="s">
        <v>138</v>
      </c>
      <c r="C438" s="112" t="s">
        <v>1433</v>
      </c>
      <c r="D438" s="112" t="s">
        <v>1433</v>
      </c>
      <c r="E438" s="112" t="s">
        <v>1433</v>
      </c>
      <c r="F438" s="112" t="s">
        <v>1433</v>
      </c>
      <c r="G438" s="222" t="s">
        <v>1433</v>
      </c>
      <c r="H438" s="112" t="s">
        <v>1433</v>
      </c>
      <c r="I438" s="112" t="s">
        <v>1433</v>
      </c>
    </row>
    <row r="439" spans="1:9" x14ac:dyDescent="0.2">
      <c r="A439" s="245"/>
      <c r="C439" s="129" t="str">
        <f>+$C$4</f>
        <v>2018 ACTUAL</v>
      </c>
      <c r="D439" s="129" t="str">
        <f t="shared" ref="D439:I439" si="79">+D$4</f>
        <v>2019 ACTUAL</v>
      </c>
      <c r="E439" s="129" t="str">
        <f t="shared" si="79"/>
        <v>2020 ACTUAL</v>
      </c>
      <c r="F439" s="129" t="str">
        <f t="shared" si="79"/>
        <v>2021 ACTUAL</v>
      </c>
      <c r="G439" s="223" t="str">
        <f t="shared" si="79"/>
        <v>2022 ACTUAL</v>
      </c>
      <c r="H439" s="129" t="str">
        <f t="shared" si="79"/>
        <v xml:space="preserve">2023 BUDGET </v>
      </c>
      <c r="I439" s="129" t="str">
        <f t="shared" si="79"/>
        <v xml:space="preserve">2024 BUDGET </v>
      </c>
    </row>
    <row r="440" spans="1:9" x14ac:dyDescent="0.2">
      <c r="A440" s="251" t="s">
        <v>153</v>
      </c>
      <c r="B440" s="4" t="s">
        <v>1291</v>
      </c>
      <c r="C440" s="10"/>
      <c r="E440" s="10"/>
      <c r="G440" s="115"/>
      <c r="H440" s="10"/>
      <c r="I440" s="10"/>
    </row>
    <row r="441" spans="1:9" x14ac:dyDescent="0.2">
      <c r="A441" s="245" t="s">
        <v>2310</v>
      </c>
      <c r="B441" s="126" t="s">
        <v>1891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f t="shared" ref="H441:I449" si="80">+G441</f>
        <v>0</v>
      </c>
      <c r="I441" s="10">
        <f t="shared" si="80"/>
        <v>0</v>
      </c>
    </row>
    <row r="442" spans="1:9" x14ac:dyDescent="0.2">
      <c r="A442" s="245" t="s">
        <v>154</v>
      </c>
      <c r="B442" s="126" t="s">
        <v>1975</v>
      </c>
      <c r="C442" s="10">
        <v>1080.46</v>
      </c>
      <c r="D442" s="10">
        <v>1368.29</v>
      </c>
      <c r="E442" s="10">
        <v>4233.71</v>
      </c>
      <c r="F442" s="10">
        <v>973.45</v>
      </c>
      <c r="G442" s="10">
        <v>2453.9</v>
      </c>
      <c r="H442" s="10">
        <v>5000</v>
      </c>
      <c r="I442" s="10">
        <v>4000</v>
      </c>
    </row>
    <row r="443" spans="1:9" x14ac:dyDescent="0.2">
      <c r="A443" s="245" t="s">
        <v>869</v>
      </c>
      <c r="B443" s="126" t="s">
        <v>1976</v>
      </c>
      <c r="C443" s="10">
        <v>0</v>
      </c>
      <c r="D443" s="10">
        <v>-375</v>
      </c>
      <c r="E443" s="10">
        <v>150</v>
      </c>
      <c r="F443" s="10">
        <v>0</v>
      </c>
      <c r="G443" s="10">
        <v>0</v>
      </c>
      <c r="H443" s="10">
        <v>2000</v>
      </c>
      <c r="I443" s="10">
        <f t="shared" si="80"/>
        <v>2000</v>
      </c>
    </row>
    <row r="444" spans="1:9" x14ac:dyDescent="0.2">
      <c r="A444" s="245" t="s">
        <v>870</v>
      </c>
      <c r="B444" s="126" t="s">
        <v>1977</v>
      </c>
      <c r="C444" s="17">
        <v>666368.02</v>
      </c>
      <c r="D444" s="17">
        <v>623566.22</v>
      </c>
      <c r="E444" s="17">
        <v>430627.51</v>
      </c>
      <c r="F444" s="17">
        <v>386888.56</v>
      </c>
      <c r="G444" s="17">
        <v>516946.19</v>
      </c>
      <c r="H444" s="10">
        <v>600000</v>
      </c>
      <c r="I444" s="10">
        <v>600000</v>
      </c>
    </row>
    <row r="445" spans="1:9" x14ac:dyDescent="0.2">
      <c r="A445" s="245" t="s">
        <v>871</v>
      </c>
      <c r="B445" s="126" t="s">
        <v>1978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f t="shared" si="80"/>
        <v>0</v>
      </c>
    </row>
    <row r="446" spans="1:9" x14ac:dyDescent="0.2">
      <c r="A446" s="245" t="s">
        <v>872</v>
      </c>
      <c r="B446" s="126" t="s">
        <v>1979</v>
      </c>
      <c r="C446" s="10">
        <v>59283.89</v>
      </c>
      <c r="D446" s="10">
        <v>53668.05</v>
      </c>
      <c r="E446" s="10">
        <v>34965.339999999997</v>
      </c>
      <c r="F446" s="10">
        <v>31950.14</v>
      </c>
      <c r="G446" s="10">
        <v>57234.85</v>
      </c>
      <c r="H446" s="10">
        <v>55000</v>
      </c>
      <c r="I446" s="10">
        <v>75000</v>
      </c>
    </row>
    <row r="447" spans="1:9" x14ac:dyDescent="0.2">
      <c r="A447" s="245" t="s">
        <v>181</v>
      </c>
      <c r="B447" s="126" t="s">
        <v>1980</v>
      </c>
      <c r="C447" s="10">
        <v>206866.83</v>
      </c>
      <c r="D447" s="10">
        <v>166464.26999999999</v>
      </c>
      <c r="E447" s="10">
        <v>103506.31</v>
      </c>
      <c r="F447" s="10">
        <v>106756.91</v>
      </c>
      <c r="G447" s="10">
        <v>101734.65</v>
      </c>
      <c r="H447" s="10">
        <v>150000</v>
      </c>
      <c r="I447" s="10">
        <v>110000</v>
      </c>
    </row>
    <row r="448" spans="1:9" x14ac:dyDescent="0.2">
      <c r="A448" s="245" t="s">
        <v>873</v>
      </c>
      <c r="B448" s="126" t="s">
        <v>1981</v>
      </c>
      <c r="C448" s="10">
        <v>6038.38</v>
      </c>
      <c r="D448" s="10">
        <v>6356.81</v>
      </c>
      <c r="E448" s="10">
        <v>7229.54</v>
      </c>
      <c r="F448" s="10">
        <v>7229.54</v>
      </c>
      <c r="G448" s="10">
        <v>7229.54</v>
      </c>
      <c r="H448" s="10">
        <v>7230</v>
      </c>
      <c r="I448" s="10">
        <v>7779</v>
      </c>
    </row>
    <row r="449" spans="1:9" x14ac:dyDescent="0.2">
      <c r="A449" s="245" t="s">
        <v>874</v>
      </c>
      <c r="B449" s="126" t="s">
        <v>1982</v>
      </c>
      <c r="C449" s="10">
        <v>0</v>
      </c>
      <c r="D449" s="10">
        <v>0</v>
      </c>
      <c r="E449" s="10">
        <v>0</v>
      </c>
      <c r="F449" s="10">
        <v>0</v>
      </c>
      <c r="G449" s="10">
        <v>0</v>
      </c>
      <c r="H449" s="10">
        <v>0</v>
      </c>
      <c r="I449" s="10">
        <f t="shared" si="80"/>
        <v>0</v>
      </c>
    </row>
    <row r="450" spans="1:9" x14ac:dyDescent="0.2">
      <c r="A450" s="245"/>
      <c r="B450" s="6" t="s">
        <v>1118</v>
      </c>
      <c r="C450" s="38">
        <f t="shared" ref="C450:F450" si="81">SUM(C441:C449)</f>
        <v>939637.58</v>
      </c>
      <c r="D450" s="38">
        <f t="shared" si="81"/>
        <v>851048.64000000013</v>
      </c>
      <c r="E450" s="38">
        <f t="shared" si="81"/>
        <v>580712.41000000015</v>
      </c>
      <c r="F450" s="38">
        <f t="shared" si="81"/>
        <v>533798.60000000009</v>
      </c>
      <c r="G450" s="38">
        <f t="shared" ref="G450:H450" si="82">SUM(G441:G449)</f>
        <v>685599.13000000012</v>
      </c>
      <c r="H450" s="38">
        <f t="shared" si="82"/>
        <v>819230</v>
      </c>
      <c r="I450" s="38">
        <f t="shared" ref="I450" si="83">SUM(I441:I449)</f>
        <v>798779</v>
      </c>
    </row>
    <row r="451" spans="1:9" x14ac:dyDescent="0.2">
      <c r="A451" s="245"/>
      <c r="B451" s="6"/>
      <c r="C451" s="10"/>
      <c r="E451" s="10"/>
      <c r="G451" s="10"/>
      <c r="H451" s="10"/>
      <c r="I451" s="10"/>
    </row>
    <row r="452" spans="1:9" x14ac:dyDescent="0.2">
      <c r="A452" s="251" t="s">
        <v>875</v>
      </c>
      <c r="B452" s="4" t="s">
        <v>1293</v>
      </c>
      <c r="C452" s="10"/>
      <c r="E452" s="10"/>
      <c r="G452" s="10"/>
      <c r="H452" s="10"/>
      <c r="I452" s="10"/>
    </row>
    <row r="453" spans="1:9" x14ac:dyDescent="0.2">
      <c r="A453" s="245" t="s">
        <v>876</v>
      </c>
      <c r="B453" s="126" t="s">
        <v>1905</v>
      </c>
      <c r="C453" s="10">
        <v>70767.06</v>
      </c>
      <c r="D453" s="10">
        <v>76566.880000000005</v>
      </c>
      <c r="E453" s="10">
        <v>78473.64</v>
      </c>
      <c r="F453" s="10">
        <v>79680.899999999994</v>
      </c>
      <c r="G453" s="10">
        <v>84888.23</v>
      </c>
      <c r="H453" s="10">
        <v>86969</v>
      </c>
      <c r="I453" s="10">
        <v>95883</v>
      </c>
    </row>
    <row r="454" spans="1:9" x14ac:dyDescent="0.2">
      <c r="A454" s="245" t="s">
        <v>877</v>
      </c>
      <c r="B454" s="126" t="s">
        <v>1983</v>
      </c>
      <c r="C454" s="10">
        <v>137674.14000000001</v>
      </c>
      <c r="D454" s="10">
        <v>145049.15</v>
      </c>
      <c r="E454" s="10">
        <v>148738.14000000001</v>
      </c>
      <c r="F454" s="10">
        <v>149388.63</v>
      </c>
      <c r="G454" s="10">
        <v>159014.16</v>
      </c>
      <c r="H454" s="10">
        <v>168176</v>
      </c>
      <c r="I454" s="10">
        <f>53664+44732+48459+36879</f>
        <v>183734</v>
      </c>
    </row>
    <row r="455" spans="1:9" x14ac:dyDescent="0.2">
      <c r="A455" s="245" t="s">
        <v>160</v>
      </c>
      <c r="B455" s="126" t="s">
        <v>1984</v>
      </c>
      <c r="C455" s="10">
        <v>0</v>
      </c>
      <c r="D455" s="10">
        <v>0</v>
      </c>
      <c r="E455" s="10">
        <v>0</v>
      </c>
      <c r="F455" s="10">
        <v>0</v>
      </c>
      <c r="G455" s="10">
        <v>0</v>
      </c>
      <c r="H455" s="10">
        <v>0</v>
      </c>
      <c r="I455" s="10">
        <f t="shared" ref="I455:I462" si="84">+H455</f>
        <v>0</v>
      </c>
    </row>
    <row r="456" spans="1:9" x14ac:dyDescent="0.2">
      <c r="A456" s="245" t="s">
        <v>2653</v>
      </c>
      <c r="B456" s="126" t="s">
        <v>2525</v>
      </c>
      <c r="C456" s="10">
        <v>0</v>
      </c>
      <c r="D456" s="10">
        <v>0</v>
      </c>
      <c r="E456" s="10">
        <v>0</v>
      </c>
      <c r="F456" s="10">
        <v>0</v>
      </c>
      <c r="G456" s="10">
        <v>0</v>
      </c>
      <c r="H456" s="10">
        <v>2000</v>
      </c>
      <c r="I456" s="10">
        <v>2000</v>
      </c>
    </row>
    <row r="457" spans="1:9" x14ac:dyDescent="0.2">
      <c r="A457" s="245" t="s">
        <v>878</v>
      </c>
      <c r="B457" s="126" t="s">
        <v>1889</v>
      </c>
      <c r="C457" s="10">
        <v>1195.29</v>
      </c>
      <c r="D457" s="10">
        <v>1949.9</v>
      </c>
      <c r="E457" s="10">
        <v>2153.15</v>
      </c>
      <c r="F457" s="10">
        <v>2506.08</v>
      </c>
      <c r="G457" s="10">
        <v>2206.14</v>
      </c>
      <c r="H457" s="10">
        <v>2280</v>
      </c>
      <c r="I457" s="10">
        <v>2520</v>
      </c>
    </row>
    <row r="458" spans="1:9" x14ac:dyDescent="0.2">
      <c r="A458" s="245" t="s">
        <v>879</v>
      </c>
      <c r="B458" s="126" t="s">
        <v>1891</v>
      </c>
      <c r="C458" s="10">
        <v>14750.91</v>
      </c>
      <c r="D458" s="10">
        <v>16159.78</v>
      </c>
      <c r="E458" s="10">
        <v>16472.490000000002</v>
      </c>
      <c r="F458" s="10">
        <v>16333.65</v>
      </c>
      <c r="G458" s="10">
        <v>17255.63</v>
      </c>
      <c r="H458" s="10">
        <v>19846.012500000001</v>
      </c>
      <c r="I458" s="10">
        <v>21736</v>
      </c>
    </row>
    <row r="459" spans="1:9" x14ac:dyDescent="0.2">
      <c r="A459" s="245" t="s">
        <v>881</v>
      </c>
      <c r="B459" s="126" t="s">
        <v>1892</v>
      </c>
      <c r="C459" s="10">
        <v>24548.91</v>
      </c>
      <c r="D459" s="10">
        <v>26527.18</v>
      </c>
      <c r="E459" s="10">
        <v>28237.26</v>
      </c>
      <c r="F459" s="10">
        <v>28810.26</v>
      </c>
      <c r="G459" s="10">
        <v>29804.15</v>
      </c>
      <c r="H459" s="10">
        <v>32272.469999999998</v>
      </c>
      <c r="I459" s="10">
        <v>35375</v>
      </c>
    </row>
    <row r="460" spans="1:9" x14ac:dyDescent="0.2">
      <c r="A460" s="245" t="s">
        <v>882</v>
      </c>
      <c r="B460" s="126" t="s">
        <v>1893</v>
      </c>
      <c r="C460" s="18">
        <v>33930</v>
      </c>
      <c r="D460" s="18">
        <v>31060</v>
      </c>
      <c r="E460" s="18">
        <v>31200</v>
      </c>
      <c r="F460" s="18">
        <v>31200</v>
      </c>
      <c r="G460" s="18">
        <v>36400</v>
      </c>
      <c r="H460" s="10">
        <v>39391</v>
      </c>
      <c r="I460" s="10">
        <v>39000</v>
      </c>
    </row>
    <row r="461" spans="1:9" x14ac:dyDescent="0.2">
      <c r="A461" s="245" t="s">
        <v>1332</v>
      </c>
      <c r="B461" s="126" t="s">
        <v>1906</v>
      </c>
      <c r="C461" s="18">
        <v>558.02</v>
      </c>
      <c r="D461" s="18">
        <v>728.05</v>
      </c>
      <c r="E461" s="18">
        <v>526.09</v>
      </c>
      <c r="F461" s="18">
        <v>542</v>
      </c>
      <c r="G461" s="18">
        <v>668.06</v>
      </c>
      <c r="H461" s="10">
        <v>650</v>
      </c>
      <c r="I461" s="10">
        <v>650</v>
      </c>
    </row>
    <row r="462" spans="1:9" x14ac:dyDescent="0.2">
      <c r="A462" s="245" t="s">
        <v>883</v>
      </c>
      <c r="B462" s="126" t="s">
        <v>1895</v>
      </c>
      <c r="C462" s="10">
        <v>5076.1099999999997</v>
      </c>
      <c r="D462" s="10">
        <v>4646.3900000000003</v>
      </c>
      <c r="E462" s="10">
        <v>5365.85</v>
      </c>
      <c r="F462" s="10">
        <v>4347.04</v>
      </c>
      <c r="G462" s="10">
        <v>4616.5600000000004</v>
      </c>
      <c r="H462" s="10">
        <v>5000</v>
      </c>
      <c r="I462" s="10">
        <f t="shared" si="84"/>
        <v>5000</v>
      </c>
    </row>
    <row r="463" spans="1:9" x14ac:dyDescent="0.2">
      <c r="A463" s="245" t="s">
        <v>884</v>
      </c>
      <c r="B463" s="126" t="s">
        <v>1896</v>
      </c>
      <c r="C463" s="10">
        <v>454.27</v>
      </c>
      <c r="D463" s="10">
        <v>1047.32</v>
      </c>
      <c r="E463" s="10">
        <v>520.11</v>
      </c>
      <c r="F463" s="10">
        <v>322.89</v>
      </c>
      <c r="G463" s="10">
        <v>214.23</v>
      </c>
      <c r="H463" s="10">
        <v>900</v>
      </c>
      <c r="I463" s="10">
        <v>900</v>
      </c>
    </row>
    <row r="464" spans="1:9" x14ac:dyDescent="0.2">
      <c r="A464" s="245" t="s">
        <v>885</v>
      </c>
      <c r="B464" s="126" t="s">
        <v>1985</v>
      </c>
      <c r="C464" s="10">
        <v>42500</v>
      </c>
      <c r="D464" s="10">
        <v>42500</v>
      </c>
      <c r="E464" s="10">
        <v>43000</v>
      </c>
      <c r="F464" s="10">
        <v>43000</v>
      </c>
      <c r="G464" s="10">
        <v>43000</v>
      </c>
      <c r="H464" s="10">
        <v>44000</v>
      </c>
      <c r="I464" s="10">
        <v>44000</v>
      </c>
    </row>
    <row r="465" spans="1:9" x14ac:dyDescent="0.2">
      <c r="A465" s="245" t="s">
        <v>886</v>
      </c>
      <c r="B465" s="126" t="s">
        <v>1898</v>
      </c>
      <c r="C465" s="18">
        <v>3215.14</v>
      </c>
      <c r="D465" s="18">
        <v>4954.66</v>
      </c>
      <c r="E465" s="18">
        <v>2851.9</v>
      </c>
      <c r="F465" s="18">
        <v>2524.13</v>
      </c>
      <c r="G465" s="18">
        <v>1835.21</v>
      </c>
      <c r="H465" s="10">
        <v>5500</v>
      </c>
      <c r="I465" s="10">
        <v>6000</v>
      </c>
    </row>
    <row r="466" spans="1:9" x14ac:dyDescent="0.2">
      <c r="A466" s="245" t="s">
        <v>887</v>
      </c>
      <c r="B466" s="126" t="s">
        <v>1899</v>
      </c>
      <c r="C466" s="10">
        <v>0</v>
      </c>
      <c r="D466" s="10">
        <v>93</v>
      </c>
      <c r="E466" s="10">
        <v>0</v>
      </c>
      <c r="F466" s="10">
        <v>93</v>
      </c>
      <c r="G466" s="10">
        <v>0</v>
      </c>
      <c r="H466" s="10">
        <v>93</v>
      </c>
      <c r="I466" s="10">
        <v>0</v>
      </c>
    </row>
    <row r="467" spans="1:9" x14ac:dyDescent="0.2">
      <c r="A467" s="245" t="s">
        <v>888</v>
      </c>
      <c r="B467" s="126" t="s">
        <v>1900</v>
      </c>
      <c r="C467" s="37">
        <v>0</v>
      </c>
      <c r="D467" s="37">
        <v>0</v>
      </c>
      <c r="E467" s="37">
        <v>343.99</v>
      </c>
      <c r="F467" s="37">
        <v>0</v>
      </c>
      <c r="G467" s="37">
        <v>292.25</v>
      </c>
      <c r="H467" s="10">
        <v>500</v>
      </c>
      <c r="I467" s="10">
        <v>2000</v>
      </c>
    </row>
    <row r="468" spans="1:9" x14ac:dyDescent="0.2">
      <c r="A468" s="245"/>
      <c r="B468" s="6" t="s">
        <v>1118</v>
      </c>
      <c r="C468" s="12">
        <f t="shared" ref="C468:H468" si="85">SUM(C453:C467)</f>
        <v>334669.85000000009</v>
      </c>
      <c r="D468" s="12">
        <f t="shared" si="85"/>
        <v>351282.31</v>
      </c>
      <c r="E468" s="12">
        <f t="shared" si="85"/>
        <v>357882.62</v>
      </c>
      <c r="F468" s="12">
        <f t="shared" si="85"/>
        <v>358748.57999999996</v>
      </c>
      <c r="G468" s="12">
        <f t="shared" si="85"/>
        <v>380194.62000000005</v>
      </c>
      <c r="H468" s="38">
        <f t="shared" si="85"/>
        <v>407577.48249999998</v>
      </c>
      <c r="I468" s="38">
        <f t="shared" ref="I468" si="86">SUM(I453:I467)</f>
        <v>438798</v>
      </c>
    </row>
    <row r="469" spans="1:9" x14ac:dyDescent="0.2">
      <c r="A469" s="245"/>
      <c r="B469" s="6"/>
      <c r="C469" s="10"/>
      <c r="E469" s="10"/>
      <c r="G469" s="10"/>
      <c r="H469" s="10"/>
      <c r="I469" s="10"/>
    </row>
    <row r="470" spans="1:9" x14ac:dyDescent="0.2">
      <c r="A470" s="251" t="s">
        <v>889</v>
      </c>
      <c r="B470" s="20" t="s">
        <v>1294</v>
      </c>
      <c r="C470" s="10"/>
      <c r="E470" s="10"/>
      <c r="G470" s="10"/>
      <c r="H470" s="10"/>
      <c r="I470" s="10"/>
    </row>
    <row r="471" spans="1:9" x14ac:dyDescent="0.2">
      <c r="A471" s="245" t="s">
        <v>890</v>
      </c>
      <c r="B471" s="126" t="s">
        <v>1905</v>
      </c>
      <c r="C471" s="10">
        <v>46976.28</v>
      </c>
      <c r="D471" s="10">
        <v>48870.12</v>
      </c>
      <c r="E471" s="10">
        <v>49677.08</v>
      </c>
      <c r="F471" s="10">
        <v>53140.2</v>
      </c>
      <c r="G471" s="10">
        <v>62541.51</v>
      </c>
      <c r="H471" s="10">
        <v>57926</v>
      </c>
      <c r="I471" s="10">
        <v>62929</v>
      </c>
    </row>
    <row r="472" spans="1:9" x14ac:dyDescent="0.2">
      <c r="A472" s="245" t="s">
        <v>891</v>
      </c>
      <c r="B472" s="126" t="s">
        <v>1983</v>
      </c>
      <c r="C472" s="10">
        <v>25684.1</v>
      </c>
      <c r="D472" s="10">
        <v>21322.42</v>
      </c>
      <c r="E472" s="10">
        <v>24594.74</v>
      </c>
      <c r="F472" s="10">
        <v>27936.18</v>
      </c>
      <c r="G472" s="10">
        <v>30251.279999999999</v>
      </c>
      <c r="H472" s="10">
        <v>36475</v>
      </c>
      <c r="I472" s="10">
        <v>35528</v>
      </c>
    </row>
    <row r="473" spans="1:9" x14ac:dyDescent="0.2">
      <c r="A473" s="245" t="s">
        <v>1822</v>
      </c>
      <c r="B473" s="126" t="s">
        <v>1984</v>
      </c>
      <c r="C473" s="10">
        <v>0</v>
      </c>
      <c r="D473" s="10">
        <v>0</v>
      </c>
      <c r="E473" s="10">
        <v>9595.5</v>
      </c>
      <c r="F473" s="10">
        <v>14401.18</v>
      </c>
      <c r="G473" s="10">
        <v>19440.86</v>
      </c>
      <c r="H473" s="10">
        <v>21235</v>
      </c>
      <c r="I473" s="10">
        <v>22297</v>
      </c>
    </row>
    <row r="474" spans="1:9" x14ac:dyDescent="0.2">
      <c r="A474" s="245" t="s">
        <v>2533</v>
      </c>
      <c r="B474" s="126" t="s">
        <v>2525</v>
      </c>
      <c r="C474" s="10">
        <v>0</v>
      </c>
      <c r="D474" s="10">
        <v>0</v>
      </c>
      <c r="E474" s="10">
        <v>0</v>
      </c>
      <c r="F474" s="10">
        <v>0</v>
      </c>
      <c r="G474" s="10">
        <v>0</v>
      </c>
      <c r="H474" s="10">
        <v>100</v>
      </c>
      <c r="I474" s="10">
        <v>100</v>
      </c>
    </row>
    <row r="475" spans="1:9" x14ac:dyDescent="0.2">
      <c r="A475" s="245" t="s">
        <v>892</v>
      </c>
      <c r="B475" s="126" t="s">
        <v>1889</v>
      </c>
      <c r="C475" s="10">
        <v>959.92</v>
      </c>
      <c r="D475" s="10">
        <v>1645.31</v>
      </c>
      <c r="E475" s="10">
        <v>1499.94</v>
      </c>
      <c r="F475" s="10">
        <v>1499.94</v>
      </c>
      <c r="G475" s="10">
        <v>576.9</v>
      </c>
      <c r="H475" s="10">
        <v>180</v>
      </c>
      <c r="I475" s="10">
        <v>0</v>
      </c>
    </row>
    <row r="476" spans="1:9" x14ac:dyDescent="0.2">
      <c r="A476" s="245" t="s">
        <v>893</v>
      </c>
      <c r="B476" s="126" t="s">
        <v>1891</v>
      </c>
      <c r="C476" s="10">
        <v>4895.87</v>
      </c>
      <c r="D476" s="10">
        <v>4761.16</v>
      </c>
      <c r="E476" s="10">
        <v>5610.35</v>
      </c>
      <c r="F476" s="10">
        <v>6414.72</v>
      </c>
      <c r="G476" s="10">
        <v>7938.12</v>
      </c>
      <c r="H476" s="10">
        <v>8867.5740000000005</v>
      </c>
      <c r="I476" s="10">
        <f>SUM(I471:I475)*0.0765</f>
        <v>9245.3310000000001</v>
      </c>
    </row>
    <row r="477" spans="1:9" x14ac:dyDescent="0.2">
      <c r="A477" s="245" t="s">
        <v>894</v>
      </c>
      <c r="B477" s="126" t="s">
        <v>1892</v>
      </c>
      <c r="C477" s="10">
        <v>8621.3799999999992</v>
      </c>
      <c r="D477" s="10">
        <v>8524.17</v>
      </c>
      <c r="E477" s="10">
        <v>10447.75</v>
      </c>
      <c r="F477" s="10">
        <v>11460.08</v>
      </c>
      <c r="G477" s="10">
        <v>12760.47</v>
      </c>
      <c r="H477" s="10">
        <v>14419.9504</v>
      </c>
      <c r="I477" s="10">
        <v>15046</v>
      </c>
    </row>
    <row r="478" spans="1:9" x14ac:dyDescent="0.2">
      <c r="A478" s="245" t="s">
        <v>895</v>
      </c>
      <c r="B478" s="126" t="s">
        <v>1893</v>
      </c>
      <c r="C478" s="18">
        <v>6960</v>
      </c>
      <c r="D478" s="10">
        <v>7765</v>
      </c>
      <c r="E478" s="18">
        <v>11700</v>
      </c>
      <c r="F478" s="18">
        <v>15600</v>
      </c>
      <c r="G478" s="18">
        <v>13650</v>
      </c>
      <c r="H478" s="10">
        <v>15756</v>
      </c>
      <c r="I478" s="10">
        <v>15600</v>
      </c>
    </row>
    <row r="479" spans="1:9" x14ac:dyDescent="0.2">
      <c r="A479" s="245" t="s">
        <v>896</v>
      </c>
      <c r="B479" s="126" t="s">
        <v>1895</v>
      </c>
      <c r="C479" s="10">
        <v>2111.7199999999998</v>
      </c>
      <c r="D479" s="18">
        <v>2365.4</v>
      </c>
      <c r="E479" s="10">
        <v>2687.45</v>
      </c>
      <c r="F479" s="10">
        <v>2082.08</v>
      </c>
      <c r="G479" s="10">
        <v>3522.01</v>
      </c>
      <c r="H479" s="10">
        <v>2200</v>
      </c>
      <c r="I479" s="10">
        <f t="shared" ref="I479:I483" si="87">+H479</f>
        <v>2200</v>
      </c>
    </row>
    <row r="480" spans="1:9" x14ac:dyDescent="0.2">
      <c r="A480" s="245" t="s">
        <v>1428</v>
      </c>
      <c r="B480" s="126" t="s">
        <v>1986</v>
      </c>
      <c r="C480" s="18">
        <v>316.77999999999997</v>
      </c>
      <c r="D480" s="10">
        <v>3419.82</v>
      </c>
      <c r="E480" s="18">
        <v>5790</v>
      </c>
      <c r="F480" s="18">
        <v>6937.09</v>
      </c>
      <c r="G480" s="18">
        <v>437.37</v>
      </c>
      <c r="H480" s="10">
        <v>5500</v>
      </c>
      <c r="I480" s="10">
        <f t="shared" si="87"/>
        <v>5500</v>
      </c>
    </row>
    <row r="481" spans="1:9" x14ac:dyDescent="0.2">
      <c r="A481" s="245" t="s">
        <v>897</v>
      </c>
      <c r="B481" s="126" t="s">
        <v>1896</v>
      </c>
      <c r="C481" s="10">
        <v>888.6</v>
      </c>
      <c r="D481" s="10">
        <v>1205.02</v>
      </c>
      <c r="E481" s="10">
        <v>779.65</v>
      </c>
      <c r="F481" s="10">
        <v>1016.49</v>
      </c>
      <c r="G481" s="10">
        <v>742.86</v>
      </c>
      <c r="H481" s="10">
        <v>1200</v>
      </c>
      <c r="I481" s="10">
        <f t="shared" si="87"/>
        <v>1200</v>
      </c>
    </row>
    <row r="482" spans="1:9" x14ac:dyDescent="0.2">
      <c r="A482" s="248" t="s">
        <v>2314</v>
      </c>
      <c r="B482" s="126" t="s">
        <v>1897</v>
      </c>
      <c r="C482" s="10">
        <v>0</v>
      </c>
      <c r="D482" s="10">
        <v>0</v>
      </c>
      <c r="E482" s="10">
        <v>455.88</v>
      </c>
      <c r="F482" s="10">
        <v>151.96</v>
      </c>
      <c r="G482" s="10">
        <v>455.88</v>
      </c>
      <c r="H482" s="10">
        <v>500</v>
      </c>
      <c r="I482" s="10">
        <f t="shared" si="87"/>
        <v>500</v>
      </c>
    </row>
    <row r="483" spans="1:9" x14ac:dyDescent="0.2">
      <c r="A483" s="245" t="s">
        <v>898</v>
      </c>
      <c r="B483" s="126" t="s">
        <v>1898</v>
      </c>
      <c r="C483" s="10">
        <v>2176.29</v>
      </c>
      <c r="D483" s="10">
        <v>965.19</v>
      </c>
      <c r="E483" s="10">
        <v>1415.75</v>
      </c>
      <c r="F483" s="10">
        <v>526.67999999999995</v>
      </c>
      <c r="G483" s="10">
        <v>1822.08</v>
      </c>
      <c r="H483" s="10">
        <v>3600</v>
      </c>
      <c r="I483" s="10">
        <f t="shared" si="87"/>
        <v>3600</v>
      </c>
    </row>
    <row r="484" spans="1:9" x14ac:dyDescent="0.2">
      <c r="A484" s="245" t="s">
        <v>899</v>
      </c>
      <c r="B484" s="126" t="s">
        <v>1900</v>
      </c>
      <c r="C484" s="12">
        <v>800.91</v>
      </c>
      <c r="D484" s="12">
        <v>297.49</v>
      </c>
      <c r="E484" s="12">
        <v>5193.5</v>
      </c>
      <c r="F484" s="12">
        <v>1743.52</v>
      </c>
      <c r="G484" s="12">
        <v>255.99</v>
      </c>
      <c r="H484" s="10">
        <v>28000</v>
      </c>
      <c r="I484" s="10">
        <v>1000</v>
      </c>
    </row>
    <row r="485" spans="1:9" x14ac:dyDescent="0.2">
      <c r="A485" s="245"/>
      <c r="B485" s="6" t="s">
        <v>1118</v>
      </c>
      <c r="C485" s="38">
        <f t="shared" ref="C485:G485" si="88">SUM(C471:C484)</f>
        <v>100391.85</v>
      </c>
      <c r="D485" s="38">
        <f t="shared" si="88"/>
        <v>101141.10000000002</v>
      </c>
      <c r="E485" s="38">
        <f t="shared" si="88"/>
        <v>129447.59000000001</v>
      </c>
      <c r="F485" s="38">
        <f t="shared" si="88"/>
        <v>142910.11999999997</v>
      </c>
      <c r="G485" s="38">
        <f t="shared" si="88"/>
        <v>154395.32999999996</v>
      </c>
      <c r="H485" s="38">
        <f t="shared" ref="H485:I485" si="89">SUM(H471:H484)</f>
        <v>195959.52439999999</v>
      </c>
      <c r="I485" s="38">
        <f t="shared" si="89"/>
        <v>174745.33100000001</v>
      </c>
    </row>
    <row r="486" spans="1:9" x14ac:dyDescent="0.2">
      <c r="A486" s="245"/>
      <c r="B486" s="6"/>
      <c r="C486" s="10"/>
      <c r="E486" s="10"/>
      <c r="G486" s="115"/>
      <c r="H486" s="10"/>
      <c r="I486" s="10"/>
    </row>
    <row r="487" spans="1:9" x14ac:dyDescent="0.2">
      <c r="A487" s="245"/>
      <c r="B487" s="4" t="s">
        <v>653</v>
      </c>
      <c r="C487" s="112" t="s">
        <v>1433</v>
      </c>
      <c r="D487" s="112" t="s">
        <v>1433</v>
      </c>
      <c r="E487" s="112" t="s">
        <v>1433</v>
      </c>
      <c r="F487" s="112" t="s">
        <v>1433</v>
      </c>
      <c r="G487" s="222" t="s">
        <v>1433</v>
      </c>
      <c r="H487" s="112" t="s">
        <v>1433</v>
      </c>
      <c r="I487" s="112" t="s">
        <v>1433</v>
      </c>
    </row>
    <row r="488" spans="1:9" x14ac:dyDescent="0.2">
      <c r="A488" s="245"/>
      <c r="B488" s="4" t="s">
        <v>980</v>
      </c>
      <c r="C488" s="112" t="s">
        <v>1433</v>
      </c>
      <c r="D488" s="112" t="s">
        <v>1433</v>
      </c>
      <c r="E488" s="112" t="s">
        <v>1433</v>
      </c>
      <c r="F488" s="112" t="s">
        <v>1433</v>
      </c>
      <c r="G488" s="222" t="s">
        <v>1433</v>
      </c>
      <c r="H488" s="112" t="s">
        <v>1433</v>
      </c>
      <c r="I488" s="112" t="s">
        <v>1433</v>
      </c>
    </row>
    <row r="489" spans="1:9" x14ac:dyDescent="0.2">
      <c r="A489" s="245"/>
      <c r="B489" s="4" t="s">
        <v>138</v>
      </c>
      <c r="C489" s="112" t="s">
        <v>1433</v>
      </c>
      <c r="D489" s="112" t="s">
        <v>1433</v>
      </c>
      <c r="E489" s="112" t="s">
        <v>1433</v>
      </c>
      <c r="F489" s="112" t="s">
        <v>1433</v>
      </c>
      <c r="G489" s="222" t="s">
        <v>1433</v>
      </c>
      <c r="H489" s="112" t="s">
        <v>1433</v>
      </c>
      <c r="I489" s="112" t="s">
        <v>1433</v>
      </c>
    </row>
    <row r="490" spans="1:9" x14ac:dyDescent="0.2">
      <c r="A490" s="245"/>
      <c r="B490" s="4"/>
      <c r="C490" s="129" t="str">
        <f>+$C$4</f>
        <v>2018 ACTUAL</v>
      </c>
      <c r="D490" s="129" t="str">
        <f t="shared" ref="D490:I490" si="90">+D$4</f>
        <v>2019 ACTUAL</v>
      </c>
      <c r="E490" s="129" t="str">
        <f t="shared" si="90"/>
        <v>2020 ACTUAL</v>
      </c>
      <c r="F490" s="129" t="str">
        <f t="shared" si="90"/>
        <v>2021 ACTUAL</v>
      </c>
      <c r="G490" s="223" t="str">
        <f t="shared" si="90"/>
        <v>2022 ACTUAL</v>
      </c>
      <c r="H490" s="129" t="str">
        <f t="shared" si="90"/>
        <v xml:space="preserve">2023 BUDGET </v>
      </c>
      <c r="I490" s="129" t="str">
        <f t="shared" si="90"/>
        <v xml:space="preserve">2024 BUDGET </v>
      </c>
    </row>
    <row r="491" spans="1:9" x14ac:dyDescent="0.2">
      <c r="A491" s="251" t="s">
        <v>900</v>
      </c>
      <c r="B491" s="4" t="s">
        <v>1295</v>
      </c>
      <c r="C491" s="10"/>
      <c r="E491" s="10"/>
      <c r="G491" s="115"/>
      <c r="H491" s="10"/>
      <c r="I491" s="10"/>
    </row>
    <row r="492" spans="1:9" x14ac:dyDescent="0.2">
      <c r="A492" s="245" t="s">
        <v>901</v>
      </c>
      <c r="B492" s="126" t="s">
        <v>1884</v>
      </c>
      <c r="C492" s="10">
        <v>24217.96</v>
      </c>
      <c r="D492" s="10">
        <v>49235.94</v>
      </c>
      <c r="E492" s="10">
        <v>50032.88</v>
      </c>
      <c r="F492" s="10">
        <v>51236.12</v>
      </c>
      <c r="G492" s="10">
        <v>53449.03</v>
      </c>
      <c r="H492" s="10">
        <v>53636</v>
      </c>
      <c r="I492" s="10">
        <v>56318</v>
      </c>
    </row>
    <row r="493" spans="1:9" x14ac:dyDescent="0.2">
      <c r="A493" s="245" t="s">
        <v>902</v>
      </c>
      <c r="B493" s="126" t="s">
        <v>1901</v>
      </c>
      <c r="C493" s="18">
        <v>59149.82</v>
      </c>
      <c r="D493" s="18">
        <v>59963.07</v>
      </c>
      <c r="E493" s="18">
        <v>61880.87</v>
      </c>
      <c r="F493" s="18">
        <v>65592.02</v>
      </c>
      <c r="G493" s="18">
        <v>69332.990000000005</v>
      </c>
      <c r="H493" s="10">
        <v>71648</v>
      </c>
      <c r="I493" s="10">
        <f>39790+36196</f>
        <v>75986</v>
      </c>
    </row>
    <row r="494" spans="1:9" x14ac:dyDescent="0.2">
      <c r="A494" s="245" t="s">
        <v>2534</v>
      </c>
      <c r="B494" s="126" t="s">
        <v>2525</v>
      </c>
      <c r="C494" s="18">
        <v>0</v>
      </c>
      <c r="D494" s="18">
        <v>0</v>
      </c>
      <c r="E494" s="18">
        <v>0</v>
      </c>
      <c r="F494" s="18">
        <v>0</v>
      </c>
      <c r="G494" s="18">
        <v>0</v>
      </c>
      <c r="H494" s="10">
        <v>1500</v>
      </c>
      <c r="I494" s="10">
        <v>1500</v>
      </c>
    </row>
    <row r="495" spans="1:9" x14ac:dyDescent="0.2">
      <c r="A495" s="245" t="s">
        <v>903</v>
      </c>
      <c r="B495" s="126" t="s">
        <v>1889</v>
      </c>
      <c r="C495" s="10">
        <v>959.92</v>
      </c>
      <c r="D495" s="10">
        <v>539.96</v>
      </c>
      <c r="E495" s="10">
        <v>237.67</v>
      </c>
      <c r="F495" s="10">
        <v>297.73</v>
      </c>
      <c r="G495" s="10">
        <v>371.64</v>
      </c>
      <c r="H495" s="10">
        <v>780</v>
      </c>
      <c r="I495" s="10">
        <v>960</v>
      </c>
    </row>
    <row r="496" spans="1:9" x14ac:dyDescent="0.2">
      <c r="A496" s="245" t="s">
        <v>906</v>
      </c>
      <c r="B496" s="126" t="s">
        <v>1891</v>
      </c>
      <c r="C496" s="18">
        <v>5779.22</v>
      </c>
      <c r="D496" s="18">
        <v>8152.77</v>
      </c>
      <c r="E496" s="18">
        <v>8161.58</v>
      </c>
      <c r="F496" s="18">
        <v>8718.7099999999991</v>
      </c>
      <c r="G496" s="18">
        <v>9258.36</v>
      </c>
      <c r="H496" s="10">
        <v>9758.6460000000006</v>
      </c>
      <c r="I496" s="10">
        <f>SUM(I492:I495)*0.0765</f>
        <v>10309.446</v>
      </c>
    </row>
    <row r="497" spans="1:9" x14ac:dyDescent="0.2">
      <c r="A497" s="245" t="s">
        <v>905</v>
      </c>
      <c r="B497" s="126" t="s">
        <v>1892</v>
      </c>
      <c r="C497" s="18">
        <v>9874.25</v>
      </c>
      <c r="D497" s="18">
        <v>12874.38</v>
      </c>
      <c r="E497" s="18">
        <v>13806.81</v>
      </c>
      <c r="F497" s="18">
        <v>14570.66</v>
      </c>
      <c r="G497" s="18">
        <v>15320.88</v>
      </c>
      <c r="H497" s="10">
        <v>15868.961599999999</v>
      </c>
      <c r="I497" s="10">
        <v>16778</v>
      </c>
    </row>
    <row r="498" spans="1:9" x14ac:dyDescent="0.2">
      <c r="A498" s="245" t="s">
        <v>904</v>
      </c>
      <c r="B498" s="126" t="s">
        <v>1893</v>
      </c>
      <c r="C498" s="10">
        <v>19430</v>
      </c>
      <c r="D498" s="10">
        <v>14082.76</v>
      </c>
      <c r="E498" s="10">
        <v>7800</v>
      </c>
      <c r="F498" s="10">
        <v>7800</v>
      </c>
      <c r="G498" s="10">
        <v>7800</v>
      </c>
      <c r="H498" s="10">
        <v>15835</v>
      </c>
      <c r="I498" s="10">
        <v>7800</v>
      </c>
    </row>
    <row r="499" spans="1:9" x14ac:dyDescent="0.2">
      <c r="A499" s="245" t="s">
        <v>1717</v>
      </c>
      <c r="B499" s="126" t="s">
        <v>1906</v>
      </c>
      <c r="C499" s="10">
        <v>462.8</v>
      </c>
      <c r="D499" s="10">
        <v>431.34</v>
      </c>
      <c r="E499" s="10">
        <v>442.28</v>
      </c>
      <c r="F499" s="10">
        <v>356.56</v>
      </c>
      <c r="G499" s="10">
        <v>430.71</v>
      </c>
      <c r="H499" s="10">
        <v>500</v>
      </c>
      <c r="I499" s="10">
        <f t="shared" ref="I499:I502" si="91">+H499</f>
        <v>500</v>
      </c>
    </row>
    <row r="500" spans="1:9" x14ac:dyDescent="0.2">
      <c r="A500" s="245" t="s">
        <v>907</v>
      </c>
      <c r="B500" s="126" t="s">
        <v>1895</v>
      </c>
      <c r="C500" s="10">
        <v>917.46</v>
      </c>
      <c r="D500" s="10">
        <v>2417.64</v>
      </c>
      <c r="E500" s="10">
        <v>1534.09</v>
      </c>
      <c r="F500" s="10">
        <v>3057.11</v>
      </c>
      <c r="G500" s="10">
        <v>1786.3</v>
      </c>
      <c r="H500" s="10">
        <v>3000</v>
      </c>
      <c r="I500" s="10">
        <v>2500</v>
      </c>
    </row>
    <row r="501" spans="1:9" x14ac:dyDescent="0.2">
      <c r="A501" s="245" t="s">
        <v>908</v>
      </c>
      <c r="B501" s="126" t="s">
        <v>1896</v>
      </c>
      <c r="C501" s="10">
        <v>1736.58</v>
      </c>
      <c r="D501" s="10">
        <v>1644.07</v>
      </c>
      <c r="E501" s="10">
        <v>1680.4</v>
      </c>
      <c r="F501" s="10">
        <v>1985.39</v>
      </c>
      <c r="G501" s="10">
        <v>2013.8</v>
      </c>
      <c r="H501" s="10">
        <v>2000</v>
      </c>
      <c r="I501" s="10">
        <f t="shared" si="91"/>
        <v>2000</v>
      </c>
    </row>
    <row r="502" spans="1:9" x14ac:dyDescent="0.2">
      <c r="A502" s="245" t="s">
        <v>909</v>
      </c>
      <c r="B502" s="126" t="s">
        <v>1898</v>
      </c>
      <c r="C502" s="10">
        <v>0</v>
      </c>
      <c r="D502" s="10">
        <v>3095.16</v>
      </c>
      <c r="E502" s="10">
        <v>3918.97</v>
      </c>
      <c r="F502" s="10">
        <v>2553.6999999999998</v>
      </c>
      <c r="G502" s="10">
        <v>4010.43</v>
      </c>
      <c r="H502" s="10">
        <v>4000</v>
      </c>
      <c r="I502" s="10">
        <f t="shared" si="91"/>
        <v>4000</v>
      </c>
    </row>
    <row r="503" spans="1:9" x14ac:dyDescent="0.2">
      <c r="A503" s="245" t="s">
        <v>910</v>
      </c>
      <c r="B503" s="126" t="s">
        <v>1899</v>
      </c>
      <c r="C503" s="10">
        <v>352</v>
      </c>
      <c r="D503" s="10">
        <v>2127</v>
      </c>
      <c r="E503" s="10">
        <v>352</v>
      </c>
      <c r="F503" s="10">
        <v>352</v>
      </c>
      <c r="G503" s="10">
        <v>352</v>
      </c>
      <c r="H503" s="10">
        <v>2127</v>
      </c>
      <c r="I503" s="10">
        <v>0</v>
      </c>
    </row>
    <row r="504" spans="1:9" x14ac:dyDescent="0.2">
      <c r="A504" s="245" t="s">
        <v>911</v>
      </c>
      <c r="B504" s="126" t="s">
        <v>1900</v>
      </c>
      <c r="C504" s="10">
        <v>0</v>
      </c>
      <c r="D504" s="10">
        <v>0</v>
      </c>
      <c r="E504" s="10">
        <v>1393.62</v>
      </c>
      <c r="F504" s="10">
        <v>851.26</v>
      </c>
      <c r="G504" s="10">
        <v>0</v>
      </c>
      <c r="H504" s="10">
        <v>1000</v>
      </c>
      <c r="I504" s="10">
        <v>2600</v>
      </c>
    </row>
    <row r="505" spans="1:9" x14ac:dyDescent="0.2">
      <c r="A505" s="245"/>
      <c r="B505" s="6" t="s">
        <v>1118</v>
      </c>
      <c r="C505" s="38">
        <f t="shared" ref="C505:H505" si="92">SUM(C492:C504)</f>
        <v>122880.01000000001</v>
      </c>
      <c r="D505" s="38">
        <f t="shared" si="92"/>
        <v>154564.09000000005</v>
      </c>
      <c r="E505" s="38">
        <f t="shared" si="92"/>
        <v>151241.16999999998</v>
      </c>
      <c r="F505" s="38">
        <f t="shared" si="92"/>
        <v>157371.26000000004</v>
      </c>
      <c r="G505" s="38">
        <f t="shared" si="92"/>
        <v>164126.13999999998</v>
      </c>
      <c r="H505" s="38">
        <f t="shared" si="92"/>
        <v>181653.60760000002</v>
      </c>
      <c r="I505" s="38">
        <f t="shared" ref="I505" si="93">SUM(I492:I504)</f>
        <v>181251.446</v>
      </c>
    </row>
    <row r="506" spans="1:9" x14ac:dyDescent="0.2">
      <c r="A506" s="245"/>
      <c r="B506" s="6"/>
      <c r="C506" s="127"/>
      <c r="E506" s="10"/>
      <c r="G506" s="10"/>
      <c r="H506" s="10"/>
      <c r="I506" s="10"/>
    </row>
    <row r="507" spans="1:9" x14ac:dyDescent="0.2">
      <c r="A507" s="245"/>
      <c r="D507" s="112"/>
      <c r="E507" s="112"/>
      <c r="F507" s="112"/>
      <c r="G507" s="112"/>
      <c r="H507" s="112"/>
      <c r="I507" s="112"/>
    </row>
    <row r="508" spans="1:9" x14ac:dyDescent="0.2">
      <c r="A508" s="251" t="s">
        <v>912</v>
      </c>
      <c r="B508" s="4" t="s">
        <v>1296</v>
      </c>
      <c r="C508" s="10"/>
      <c r="E508" s="10"/>
      <c r="G508" s="10"/>
      <c r="H508" s="10"/>
      <c r="I508" s="10"/>
    </row>
    <row r="509" spans="1:9" x14ac:dyDescent="0.2">
      <c r="A509" s="245" t="s">
        <v>913</v>
      </c>
      <c r="B509" s="126" t="s">
        <v>1884</v>
      </c>
      <c r="C509" s="10">
        <v>48435.92</v>
      </c>
      <c r="D509" s="10">
        <v>49235.94</v>
      </c>
      <c r="E509" s="10">
        <v>50042.879999999997</v>
      </c>
      <c r="F509" s="10">
        <v>51236.12</v>
      </c>
      <c r="G509" s="10">
        <v>53449.01</v>
      </c>
      <c r="H509" s="10">
        <v>53636</v>
      </c>
      <c r="I509" s="10">
        <v>56318</v>
      </c>
    </row>
    <row r="510" spans="1:9" x14ac:dyDescent="0.2">
      <c r="A510" s="245" t="s">
        <v>914</v>
      </c>
      <c r="B510" s="126" t="s">
        <v>1901</v>
      </c>
      <c r="C510" s="18">
        <v>328208.28999999998</v>
      </c>
      <c r="D510" s="18">
        <v>334616.61</v>
      </c>
      <c r="E510" s="18">
        <v>344174.94</v>
      </c>
      <c r="F510" s="18">
        <v>362829.74</v>
      </c>
      <c r="G510" s="18">
        <v>367612.26</v>
      </c>
      <c r="H510" s="10">
        <v>382660</v>
      </c>
      <c r="I510" s="10">
        <f>457580-I509</f>
        <v>401262</v>
      </c>
    </row>
    <row r="511" spans="1:9" x14ac:dyDescent="0.2">
      <c r="A511" s="245" t="s">
        <v>915</v>
      </c>
      <c r="B511" s="126" t="s">
        <v>1984</v>
      </c>
      <c r="C511" s="10">
        <v>0</v>
      </c>
      <c r="D511" s="10">
        <v>0</v>
      </c>
      <c r="E511" s="10">
        <v>0</v>
      </c>
      <c r="F511" s="10">
        <v>0</v>
      </c>
      <c r="G511" s="10">
        <v>5220.3500000000004</v>
      </c>
      <c r="H511" s="10">
        <v>3502</v>
      </c>
      <c r="I511" s="10">
        <v>0</v>
      </c>
    </row>
    <row r="512" spans="1:9" x14ac:dyDescent="0.2">
      <c r="A512" s="245" t="s">
        <v>2535</v>
      </c>
      <c r="B512" s="126" t="s">
        <v>2525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2000</v>
      </c>
      <c r="I512" s="10">
        <v>2000</v>
      </c>
    </row>
    <row r="513" spans="1:12" x14ac:dyDescent="0.2">
      <c r="A513" s="245" t="s">
        <v>916</v>
      </c>
      <c r="B513" s="126" t="s">
        <v>1889</v>
      </c>
      <c r="C513" s="10">
        <v>3351</v>
      </c>
      <c r="D513" s="10">
        <v>5334.96</v>
      </c>
      <c r="E513" s="10">
        <v>5501.58</v>
      </c>
      <c r="F513" s="10">
        <v>5501.56</v>
      </c>
      <c r="G513" s="10">
        <v>5113.71</v>
      </c>
      <c r="H513" s="10">
        <v>4020</v>
      </c>
      <c r="I513" s="10">
        <v>4260</v>
      </c>
    </row>
    <row r="514" spans="1:12" x14ac:dyDescent="0.2">
      <c r="A514" s="245" t="s">
        <v>917</v>
      </c>
      <c r="B514" s="126" t="s">
        <v>1891</v>
      </c>
      <c r="C514" s="18">
        <v>27257.439999999999</v>
      </c>
      <c r="D514" s="18">
        <v>28250.02</v>
      </c>
      <c r="E514" s="18">
        <v>29040.17</v>
      </c>
      <c r="F514" s="18">
        <v>30737.73</v>
      </c>
      <c r="G514" s="18">
        <v>31847.79</v>
      </c>
      <c r="H514" s="10">
        <v>34373</v>
      </c>
      <c r="I514" s="10">
        <v>35751</v>
      </c>
    </row>
    <row r="515" spans="1:12" x14ac:dyDescent="0.2">
      <c r="A515" s="245" t="s">
        <v>918</v>
      </c>
      <c r="B515" s="126" t="s">
        <v>1892</v>
      </c>
      <c r="C515" s="18">
        <v>44497.74</v>
      </c>
      <c r="D515" s="18">
        <v>45478.04</v>
      </c>
      <c r="E515" s="18">
        <v>49207.9</v>
      </c>
      <c r="F515" s="18">
        <v>51536.22</v>
      </c>
      <c r="G515" s="18">
        <v>52476.76</v>
      </c>
      <c r="H515" s="10">
        <v>55024</v>
      </c>
      <c r="I515" s="10">
        <v>58184</v>
      </c>
    </row>
    <row r="516" spans="1:12" x14ac:dyDescent="0.2">
      <c r="A516" s="245" t="s">
        <v>919</v>
      </c>
      <c r="B516" s="126" t="s">
        <v>1893</v>
      </c>
      <c r="C516" s="18">
        <v>82070</v>
      </c>
      <c r="D516" s="18">
        <v>79890</v>
      </c>
      <c r="E516" s="18">
        <v>85475</v>
      </c>
      <c r="F516" s="18">
        <v>81575</v>
      </c>
      <c r="G516" s="18">
        <v>79950</v>
      </c>
      <c r="H516" s="10">
        <v>94617</v>
      </c>
      <c r="I516" s="10">
        <v>70200</v>
      </c>
    </row>
    <row r="517" spans="1:12" ht="12.75" customHeight="1" x14ac:dyDescent="0.2">
      <c r="A517" s="245" t="s">
        <v>2514</v>
      </c>
      <c r="B517" s="126" t="s">
        <v>1894</v>
      </c>
      <c r="C517" s="10">
        <v>0</v>
      </c>
      <c r="D517" s="10">
        <v>0</v>
      </c>
      <c r="E517" s="10">
        <v>0</v>
      </c>
      <c r="F517" s="10">
        <v>0</v>
      </c>
      <c r="G517" s="10">
        <v>67.31</v>
      </c>
      <c r="H517" s="10">
        <v>3500</v>
      </c>
      <c r="I517" s="10">
        <v>3500</v>
      </c>
    </row>
    <row r="518" spans="1:12" x14ac:dyDescent="0.2">
      <c r="A518" s="245" t="s">
        <v>1083</v>
      </c>
      <c r="B518" s="126" t="s">
        <v>1906</v>
      </c>
      <c r="C518" s="18">
        <v>1648.34</v>
      </c>
      <c r="D518" s="18">
        <v>2089.4299999999998</v>
      </c>
      <c r="E518" s="18">
        <v>1457.22</v>
      </c>
      <c r="F518" s="18">
        <v>1435.28</v>
      </c>
      <c r="G518" s="18">
        <v>1934.49</v>
      </c>
      <c r="H518" s="10">
        <v>2250</v>
      </c>
      <c r="I518" s="10">
        <v>2000</v>
      </c>
    </row>
    <row r="519" spans="1:12" x14ac:dyDescent="0.2">
      <c r="A519" s="245" t="s">
        <v>214</v>
      </c>
      <c r="B519" s="126" t="s">
        <v>1895</v>
      </c>
      <c r="C519" s="10">
        <v>15709.29</v>
      </c>
      <c r="D519" s="10">
        <v>12352.3</v>
      </c>
      <c r="E519" s="10">
        <v>10650.42</v>
      </c>
      <c r="F519" s="10">
        <v>13655.53</v>
      </c>
      <c r="G519" s="10">
        <v>10712.73</v>
      </c>
      <c r="H519" s="10">
        <v>13000</v>
      </c>
      <c r="I519" s="10">
        <f t="shared" ref="I519:I522" si="94">+H519</f>
        <v>13000</v>
      </c>
    </row>
    <row r="520" spans="1:12" x14ac:dyDescent="0.2">
      <c r="A520" s="245" t="s">
        <v>215</v>
      </c>
      <c r="B520" s="126" t="s">
        <v>1988</v>
      </c>
      <c r="C520" s="18">
        <v>14200.01</v>
      </c>
      <c r="D520" s="18">
        <v>8218.15</v>
      </c>
      <c r="E520" s="18">
        <v>15837.68</v>
      </c>
      <c r="F520" s="18">
        <v>8859.74</v>
      </c>
      <c r="G520" s="18">
        <v>9095.1200000000008</v>
      </c>
      <c r="H520" s="10">
        <v>11000</v>
      </c>
      <c r="I520" s="10">
        <v>13500</v>
      </c>
    </row>
    <row r="521" spans="1:12" x14ac:dyDescent="0.2">
      <c r="A521" s="245" t="s">
        <v>216</v>
      </c>
      <c r="B521" s="126" t="s">
        <v>1896</v>
      </c>
      <c r="C521" s="18">
        <v>26990.240000000002</v>
      </c>
      <c r="D521" s="18">
        <v>27301.23</v>
      </c>
      <c r="E521" s="18">
        <v>34803.01</v>
      </c>
      <c r="F521" s="18">
        <v>29919.03</v>
      </c>
      <c r="G521" s="18">
        <v>29525.34</v>
      </c>
      <c r="H521" s="10">
        <v>35000</v>
      </c>
      <c r="I521" s="10">
        <v>38000</v>
      </c>
    </row>
    <row r="522" spans="1:12" x14ac:dyDescent="0.2">
      <c r="A522" s="245" t="s">
        <v>217</v>
      </c>
      <c r="B522" s="126" t="s">
        <v>1898</v>
      </c>
      <c r="C522" s="18">
        <v>2966.49</v>
      </c>
      <c r="D522" s="18">
        <v>2046.83</v>
      </c>
      <c r="E522" s="18">
        <v>2513.7600000000002</v>
      </c>
      <c r="F522" s="18">
        <v>1032.9000000000001</v>
      </c>
      <c r="G522" s="18">
        <v>1752.05</v>
      </c>
      <c r="H522" s="10">
        <v>3500</v>
      </c>
      <c r="I522" s="10">
        <f t="shared" si="94"/>
        <v>3500</v>
      </c>
    </row>
    <row r="523" spans="1:12" x14ac:dyDescent="0.2">
      <c r="A523" s="245" t="s">
        <v>218</v>
      </c>
      <c r="B523" s="126" t="s">
        <v>1987</v>
      </c>
      <c r="C523" s="18">
        <v>346662.43</v>
      </c>
      <c r="D523" s="18">
        <v>332597.46000000002</v>
      </c>
      <c r="E523" s="18">
        <v>337583.97</v>
      </c>
      <c r="F523" s="18">
        <v>373003.58</v>
      </c>
      <c r="G523" s="18">
        <v>398076.92</v>
      </c>
      <c r="H523" s="10">
        <v>427040</v>
      </c>
      <c r="I523" s="10">
        <v>462300</v>
      </c>
    </row>
    <row r="524" spans="1:12" x14ac:dyDescent="0.2">
      <c r="A524" s="245" t="s">
        <v>219</v>
      </c>
      <c r="B524" s="126" t="s">
        <v>1899</v>
      </c>
      <c r="C524" s="18">
        <v>0</v>
      </c>
      <c r="D524" s="18">
        <v>0</v>
      </c>
      <c r="E524" s="18">
        <v>0</v>
      </c>
      <c r="F524" s="18">
        <v>1775</v>
      </c>
      <c r="G524" s="18">
        <v>0</v>
      </c>
      <c r="H524" s="10">
        <v>1775</v>
      </c>
      <c r="I524" s="10">
        <v>100</v>
      </c>
      <c r="L524" t="s">
        <v>1433</v>
      </c>
    </row>
    <row r="525" spans="1:12" x14ac:dyDescent="0.2">
      <c r="A525" s="245" t="s">
        <v>220</v>
      </c>
      <c r="B525" s="126" t="s">
        <v>1900</v>
      </c>
      <c r="C525" s="18">
        <v>1876</v>
      </c>
      <c r="D525" s="18">
        <v>18771.23</v>
      </c>
      <c r="E525" s="18">
        <v>1972.69</v>
      </c>
      <c r="F525" s="18">
        <v>875.63</v>
      </c>
      <c r="G525" s="18">
        <v>41169</v>
      </c>
      <c r="H525" s="10">
        <v>42000</v>
      </c>
      <c r="I525" s="10">
        <v>42000</v>
      </c>
    </row>
    <row r="526" spans="1:12" x14ac:dyDescent="0.2">
      <c r="A526" s="245"/>
      <c r="B526" s="6" t="s">
        <v>1118</v>
      </c>
      <c r="C526" s="38">
        <f t="shared" ref="C526:G526" si="95">SUM(C509:C525)</f>
        <v>943873.19</v>
      </c>
      <c r="D526" s="38">
        <f t="shared" si="95"/>
        <v>946182.20000000019</v>
      </c>
      <c r="E526" s="38">
        <f t="shared" si="95"/>
        <v>968261.22</v>
      </c>
      <c r="F526" s="38">
        <f t="shared" si="95"/>
        <v>1013973.0600000002</v>
      </c>
      <c r="G526" s="38">
        <f t="shared" si="95"/>
        <v>1088002.8400000001</v>
      </c>
      <c r="H526" s="38">
        <f t="shared" ref="H526:I526" si="96">SUM(H509:H525)</f>
        <v>1168897</v>
      </c>
      <c r="I526" s="38">
        <f t="shared" si="96"/>
        <v>1205875</v>
      </c>
    </row>
    <row r="527" spans="1:12" x14ac:dyDescent="0.2">
      <c r="A527" s="245"/>
      <c r="B527" s="6"/>
      <c r="C527" s="10"/>
      <c r="E527" s="10"/>
      <c r="G527" s="10"/>
      <c r="H527" s="10"/>
      <c r="I527" s="10"/>
    </row>
    <row r="528" spans="1:12" x14ac:dyDescent="0.2">
      <c r="A528" s="251" t="s">
        <v>221</v>
      </c>
      <c r="B528" s="4" t="s">
        <v>1297</v>
      </c>
      <c r="C528" s="10"/>
      <c r="E528" s="10"/>
      <c r="G528" s="10"/>
      <c r="H528" s="10"/>
      <c r="I528" s="10"/>
    </row>
    <row r="529" spans="1:9" x14ac:dyDescent="0.2">
      <c r="A529" s="245" t="s">
        <v>222</v>
      </c>
      <c r="B529" s="126" t="s">
        <v>1905</v>
      </c>
      <c r="C529" s="10">
        <v>38281.410000000003</v>
      </c>
      <c r="D529" s="10">
        <v>39933.14</v>
      </c>
      <c r="E529" s="10">
        <v>41623.629999999997</v>
      </c>
      <c r="F529" s="10">
        <v>42973.94</v>
      </c>
      <c r="G529" s="10">
        <v>44881.31</v>
      </c>
      <c r="H529" s="10">
        <v>45230</v>
      </c>
      <c r="I529" s="242">
        <v>47492</v>
      </c>
    </row>
    <row r="530" spans="1:9" x14ac:dyDescent="0.2">
      <c r="A530" s="245" t="s">
        <v>223</v>
      </c>
      <c r="B530" s="126" t="s">
        <v>1983</v>
      </c>
      <c r="C530" s="10">
        <v>60271.11</v>
      </c>
      <c r="D530" s="10">
        <v>71600.100000000006</v>
      </c>
      <c r="E530" s="10">
        <v>74595.179999999993</v>
      </c>
      <c r="F530" s="10">
        <v>67803.08</v>
      </c>
      <c r="G530" s="10">
        <v>72199.520000000004</v>
      </c>
      <c r="H530" s="10">
        <v>73998</v>
      </c>
      <c r="I530" s="10">
        <f>42170+35528</f>
        <v>77698</v>
      </c>
    </row>
    <row r="531" spans="1:9" x14ac:dyDescent="0.2">
      <c r="A531" s="245" t="s">
        <v>1667</v>
      </c>
      <c r="B531" s="126" t="s">
        <v>1984</v>
      </c>
      <c r="C531" s="10">
        <v>0</v>
      </c>
      <c r="D531" s="10">
        <v>0</v>
      </c>
      <c r="E531" s="10">
        <v>0</v>
      </c>
      <c r="F531" s="10">
        <v>0</v>
      </c>
      <c r="G531" s="10">
        <v>0</v>
      </c>
      <c r="H531" s="10">
        <v>0</v>
      </c>
      <c r="I531" s="10">
        <v>22297</v>
      </c>
    </row>
    <row r="532" spans="1:9" x14ac:dyDescent="0.2">
      <c r="A532" s="245" t="s">
        <v>2536</v>
      </c>
      <c r="B532" s="126" t="s">
        <v>2525</v>
      </c>
      <c r="C532" s="10">
        <v>0</v>
      </c>
      <c r="D532" s="10">
        <v>0</v>
      </c>
      <c r="E532" s="10">
        <v>0</v>
      </c>
      <c r="F532" s="10">
        <v>0</v>
      </c>
      <c r="G532" s="10">
        <v>0</v>
      </c>
      <c r="H532" s="10">
        <v>1000</v>
      </c>
      <c r="I532" s="10">
        <v>1000</v>
      </c>
    </row>
    <row r="533" spans="1:9" x14ac:dyDescent="0.2">
      <c r="A533" s="245" t="s">
        <v>224</v>
      </c>
      <c r="B533" s="126" t="s">
        <v>1889</v>
      </c>
      <c r="C533" s="10">
        <v>1033.76</v>
      </c>
      <c r="D533" s="10">
        <v>1363.92</v>
      </c>
      <c r="E533" s="10">
        <v>1280.6199999999999</v>
      </c>
      <c r="F533" s="10">
        <v>720.02</v>
      </c>
      <c r="G533" s="10">
        <v>922.94</v>
      </c>
      <c r="H533" s="10">
        <v>1080</v>
      </c>
      <c r="I533" s="10">
        <v>1260</v>
      </c>
    </row>
    <row r="534" spans="1:9" x14ac:dyDescent="0.2">
      <c r="A534" s="245" t="s">
        <v>225</v>
      </c>
      <c r="B534" s="126" t="s">
        <v>1891</v>
      </c>
      <c r="C534" s="10">
        <v>6984.95</v>
      </c>
      <c r="D534" s="10">
        <v>8359.3700000000008</v>
      </c>
      <c r="E534" s="10">
        <v>8816.7099999999991</v>
      </c>
      <c r="F534" s="10">
        <v>8341.49</v>
      </c>
      <c r="G534" s="10">
        <v>8812.5300000000007</v>
      </c>
      <c r="H534" s="10">
        <v>9280.0619999999999</v>
      </c>
      <c r="I534" s="10">
        <v>11456</v>
      </c>
    </row>
    <row r="535" spans="1:9" x14ac:dyDescent="0.2">
      <c r="A535" s="245" t="s">
        <v>226</v>
      </c>
      <c r="B535" s="126" t="s">
        <v>1892</v>
      </c>
      <c r="C535" s="10">
        <v>11651.95</v>
      </c>
      <c r="D535" s="10">
        <v>13395.94</v>
      </c>
      <c r="E535" s="10">
        <v>13509.43</v>
      </c>
      <c r="F535" s="10">
        <v>13870.88</v>
      </c>
      <c r="G535" s="10">
        <v>14680.46</v>
      </c>
      <c r="H535" s="10">
        <v>15090.715199999999</v>
      </c>
      <c r="I535" s="10">
        <v>18643</v>
      </c>
    </row>
    <row r="536" spans="1:9" x14ac:dyDescent="0.2">
      <c r="A536" s="245" t="s">
        <v>211</v>
      </c>
      <c r="B536" s="126" t="s">
        <v>1893</v>
      </c>
      <c r="C536" s="18">
        <v>17980</v>
      </c>
      <c r="D536" s="18">
        <v>17445</v>
      </c>
      <c r="E536" s="18">
        <v>14450.51</v>
      </c>
      <c r="F536" s="18">
        <v>15600</v>
      </c>
      <c r="G536" s="18">
        <v>21450</v>
      </c>
      <c r="H536" s="10">
        <v>23635</v>
      </c>
      <c r="I536" s="10">
        <v>23400</v>
      </c>
    </row>
    <row r="537" spans="1:9" x14ac:dyDescent="0.2">
      <c r="A537" s="248" t="s">
        <v>2614</v>
      </c>
      <c r="B537" s="126" t="s">
        <v>1906</v>
      </c>
      <c r="C537" s="18">
        <v>0</v>
      </c>
      <c r="D537" s="18">
        <v>0</v>
      </c>
      <c r="E537" s="18">
        <v>0</v>
      </c>
      <c r="F537" s="18">
        <v>0</v>
      </c>
      <c r="G537" s="18">
        <v>0</v>
      </c>
      <c r="H537" s="10">
        <v>0</v>
      </c>
      <c r="I537" s="10">
        <v>0</v>
      </c>
    </row>
    <row r="538" spans="1:9" x14ac:dyDescent="0.2">
      <c r="A538" s="245" t="s">
        <v>212</v>
      </c>
      <c r="B538" s="126" t="s">
        <v>1895</v>
      </c>
      <c r="C538" s="10">
        <v>2611.9899999999998</v>
      </c>
      <c r="D538" s="10">
        <v>2698.11</v>
      </c>
      <c r="E538" s="10">
        <v>2431.38</v>
      </c>
      <c r="F538" s="10">
        <v>3712.93</v>
      </c>
      <c r="G538" s="10">
        <v>2149.9</v>
      </c>
      <c r="H538" s="10">
        <v>3000</v>
      </c>
      <c r="I538" s="10">
        <v>3000</v>
      </c>
    </row>
    <row r="539" spans="1:9" x14ac:dyDescent="0.2">
      <c r="A539" s="245" t="s">
        <v>213</v>
      </c>
      <c r="B539" s="126" t="s">
        <v>1896</v>
      </c>
      <c r="C539" s="10">
        <v>989.51</v>
      </c>
      <c r="D539" s="10">
        <v>1154.26</v>
      </c>
      <c r="E539" s="10">
        <v>1365.41</v>
      </c>
      <c r="F539" s="10">
        <v>2092.4</v>
      </c>
      <c r="G539" s="10">
        <v>1558.03</v>
      </c>
      <c r="H539" s="10">
        <v>2500</v>
      </c>
      <c r="I539" s="10">
        <f t="shared" ref="I539" si="97">+H539</f>
        <v>2500</v>
      </c>
    </row>
    <row r="540" spans="1:9" x14ac:dyDescent="0.2">
      <c r="A540" s="245" t="s">
        <v>1053</v>
      </c>
      <c r="B540" s="126" t="s">
        <v>1898</v>
      </c>
      <c r="C540" s="18">
        <v>1729.73</v>
      </c>
      <c r="D540" s="18">
        <v>932.77</v>
      </c>
      <c r="E540" s="18">
        <v>1909.95</v>
      </c>
      <c r="F540" s="18">
        <v>659.77</v>
      </c>
      <c r="G540" s="18">
        <v>2612.61</v>
      </c>
      <c r="H540" s="10">
        <v>3000</v>
      </c>
      <c r="I540" s="10">
        <v>3500</v>
      </c>
    </row>
    <row r="541" spans="1:9" x14ac:dyDescent="0.2">
      <c r="A541" s="245" t="s">
        <v>1054</v>
      </c>
      <c r="B541" s="126" t="s">
        <v>1899</v>
      </c>
      <c r="C541" s="18">
        <v>164</v>
      </c>
      <c r="D541" s="18">
        <v>0</v>
      </c>
      <c r="E541" s="18">
        <v>93</v>
      </c>
      <c r="F541" s="18">
        <v>93</v>
      </c>
      <c r="G541" s="18">
        <v>0</v>
      </c>
      <c r="H541" s="10">
        <v>93</v>
      </c>
      <c r="I541" s="10">
        <v>0</v>
      </c>
    </row>
    <row r="542" spans="1:9" x14ac:dyDescent="0.2">
      <c r="A542" s="245" t="s">
        <v>1055</v>
      </c>
      <c r="B542" s="126" t="s">
        <v>1900</v>
      </c>
      <c r="C542" s="18">
        <v>0</v>
      </c>
      <c r="D542" s="18">
        <v>0</v>
      </c>
      <c r="E542" s="18">
        <v>0</v>
      </c>
      <c r="F542" s="18">
        <v>2320.0700000000002</v>
      </c>
      <c r="G542" s="18">
        <v>0</v>
      </c>
      <c r="H542" s="10">
        <v>500</v>
      </c>
      <c r="I542" s="10">
        <v>3900</v>
      </c>
    </row>
    <row r="543" spans="1:9" x14ac:dyDescent="0.2">
      <c r="A543" s="245"/>
      <c r="B543" s="6" t="s">
        <v>1118</v>
      </c>
      <c r="C543" s="38">
        <f t="shared" ref="C543:I543" si="98">SUM(C529:C542)</f>
        <v>141698.41</v>
      </c>
      <c r="D543" s="38">
        <f t="shared" si="98"/>
        <v>156882.60999999999</v>
      </c>
      <c r="E543" s="38">
        <f t="shared" si="98"/>
        <v>160075.82</v>
      </c>
      <c r="F543" s="38">
        <f t="shared" si="98"/>
        <v>158187.57999999999</v>
      </c>
      <c r="G543" s="38">
        <f t="shared" si="98"/>
        <v>169267.3</v>
      </c>
      <c r="H543" s="38">
        <f t="shared" si="98"/>
        <v>178406.77720000001</v>
      </c>
      <c r="I543" s="38">
        <f t="shared" si="98"/>
        <v>216146</v>
      </c>
    </row>
    <row r="544" spans="1:9" x14ac:dyDescent="0.2">
      <c r="A544" s="245"/>
      <c r="B544" s="6"/>
      <c r="C544" s="10"/>
      <c r="E544" s="10"/>
      <c r="G544" s="115"/>
      <c r="H544" s="10"/>
      <c r="I544" s="10"/>
    </row>
    <row r="545" spans="1:9" x14ac:dyDescent="0.2">
      <c r="A545" s="245"/>
      <c r="B545" s="4" t="s">
        <v>653</v>
      </c>
      <c r="C545" s="112" t="s">
        <v>1433</v>
      </c>
      <c r="D545" s="112" t="s">
        <v>1433</v>
      </c>
      <c r="E545" s="112" t="s">
        <v>1433</v>
      </c>
      <c r="F545" s="112" t="s">
        <v>1433</v>
      </c>
      <c r="G545" s="222" t="s">
        <v>1433</v>
      </c>
      <c r="H545" s="112" t="s">
        <v>1433</v>
      </c>
      <c r="I545" s="112" t="s">
        <v>1433</v>
      </c>
    </row>
    <row r="546" spans="1:9" x14ac:dyDescent="0.2">
      <c r="A546" s="245"/>
      <c r="B546" s="4" t="s">
        <v>980</v>
      </c>
      <c r="C546" s="112" t="s">
        <v>1433</v>
      </c>
      <c r="D546" s="112" t="s">
        <v>1433</v>
      </c>
      <c r="E546" s="112" t="s">
        <v>1433</v>
      </c>
      <c r="F546" s="112" t="s">
        <v>1433</v>
      </c>
      <c r="G546" s="222" t="s">
        <v>1433</v>
      </c>
      <c r="H546" s="112" t="s">
        <v>1433</v>
      </c>
      <c r="I546" s="112" t="s">
        <v>1433</v>
      </c>
    </row>
    <row r="547" spans="1:9" x14ac:dyDescent="0.2">
      <c r="A547" s="245"/>
      <c r="B547" s="4" t="s">
        <v>138</v>
      </c>
      <c r="C547" s="112" t="s">
        <v>1433</v>
      </c>
      <c r="D547" s="112" t="s">
        <v>1433</v>
      </c>
      <c r="E547" s="112" t="s">
        <v>1433</v>
      </c>
      <c r="F547" s="112" t="s">
        <v>1433</v>
      </c>
      <c r="G547" s="222" t="s">
        <v>1433</v>
      </c>
      <c r="H547" s="112" t="s">
        <v>1433</v>
      </c>
      <c r="I547" s="112" t="s">
        <v>1433</v>
      </c>
    </row>
    <row r="548" spans="1:9" x14ac:dyDescent="0.2">
      <c r="A548" s="245"/>
      <c r="B548" s="4"/>
      <c r="C548" s="112"/>
      <c r="D548" s="129" t="str">
        <f t="shared" ref="D548:I548" si="99">+D$4</f>
        <v>2019 ACTUAL</v>
      </c>
      <c r="E548" s="129" t="str">
        <f t="shared" si="99"/>
        <v>2020 ACTUAL</v>
      </c>
      <c r="F548" s="129" t="str">
        <f t="shared" si="99"/>
        <v>2021 ACTUAL</v>
      </c>
      <c r="G548" s="223" t="str">
        <f t="shared" si="99"/>
        <v>2022 ACTUAL</v>
      </c>
      <c r="H548" s="129" t="str">
        <f t="shared" si="99"/>
        <v xml:space="preserve">2023 BUDGET </v>
      </c>
      <c r="I548" s="129" t="str">
        <f t="shared" si="99"/>
        <v xml:space="preserve">2024 BUDGET </v>
      </c>
    </row>
    <row r="549" spans="1:9" x14ac:dyDescent="0.2">
      <c r="A549" s="251" t="s">
        <v>1056</v>
      </c>
      <c r="B549" s="4" t="s">
        <v>2316</v>
      </c>
      <c r="C549" s="10"/>
      <c r="D549" s="218"/>
      <c r="E549" s="218"/>
      <c r="F549" s="218"/>
      <c r="G549" s="226"/>
      <c r="H549" s="218"/>
      <c r="I549" s="218"/>
    </row>
    <row r="550" spans="1:9" x14ac:dyDescent="0.2">
      <c r="A550" s="245" t="s">
        <v>1057</v>
      </c>
      <c r="B550" s="126" t="s">
        <v>1905</v>
      </c>
      <c r="C550" s="10">
        <v>69800.12</v>
      </c>
      <c r="D550" s="10">
        <v>70600.14</v>
      </c>
      <c r="E550" s="10">
        <v>73088.679999999993</v>
      </c>
      <c r="F550" s="10">
        <v>74263.8</v>
      </c>
      <c r="G550" s="10">
        <v>76952.639999999999</v>
      </c>
      <c r="H550" s="10">
        <v>78371</v>
      </c>
      <c r="I550" s="10">
        <v>82290</v>
      </c>
    </row>
    <row r="551" spans="1:9" x14ac:dyDescent="0.2">
      <c r="A551" s="245" t="s">
        <v>1058</v>
      </c>
      <c r="B551" s="126" t="s">
        <v>1983</v>
      </c>
      <c r="C551" s="10">
        <v>38256.92</v>
      </c>
      <c r="D551" s="10">
        <v>53842.33</v>
      </c>
      <c r="E551" s="10">
        <v>89975.11</v>
      </c>
      <c r="F551" s="10">
        <v>51991.16</v>
      </c>
      <c r="G551" s="18">
        <v>74125.539999999994</v>
      </c>
      <c r="H551" s="10">
        <v>96159</v>
      </c>
      <c r="I551" s="10">
        <f>58317+44732+43856</f>
        <v>146905</v>
      </c>
    </row>
    <row r="552" spans="1:9" x14ac:dyDescent="0.2">
      <c r="A552" s="245" t="s">
        <v>1059</v>
      </c>
      <c r="B552" s="126" t="s">
        <v>1984</v>
      </c>
      <c r="C552" s="10">
        <v>0</v>
      </c>
      <c r="D552" s="10">
        <v>0</v>
      </c>
      <c r="E552" s="10">
        <v>0</v>
      </c>
      <c r="F552" s="10">
        <v>0</v>
      </c>
      <c r="G552" s="10">
        <v>0</v>
      </c>
      <c r="H552" s="10">
        <v>0</v>
      </c>
      <c r="I552" s="10">
        <f t="shared" ref="I552:I563" si="100">+H552</f>
        <v>0</v>
      </c>
    </row>
    <row r="553" spans="1:9" x14ac:dyDescent="0.2">
      <c r="A553" s="245" t="s">
        <v>2537</v>
      </c>
      <c r="B553" s="126" t="s">
        <v>2525</v>
      </c>
      <c r="C553" s="10">
        <v>0</v>
      </c>
      <c r="D553" s="10">
        <v>0</v>
      </c>
      <c r="E553" s="10">
        <v>0</v>
      </c>
      <c r="F553" s="10">
        <v>0</v>
      </c>
      <c r="G553" s="10">
        <v>0</v>
      </c>
      <c r="H553" s="10">
        <v>500</v>
      </c>
      <c r="I553" s="10">
        <v>500</v>
      </c>
    </row>
    <row r="554" spans="1:9" x14ac:dyDescent="0.2">
      <c r="A554" s="245" t="s">
        <v>1061</v>
      </c>
      <c r="B554" s="126" t="s">
        <v>1889</v>
      </c>
      <c r="C554" s="10">
        <v>715.33</v>
      </c>
      <c r="D554" s="10">
        <v>1393.89</v>
      </c>
      <c r="E554" s="10">
        <v>1832.35</v>
      </c>
      <c r="F554" s="10">
        <v>1435.27</v>
      </c>
      <c r="G554" s="10">
        <v>1615.38</v>
      </c>
      <c r="H554" s="10">
        <v>1860</v>
      </c>
      <c r="I554" s="10">
        <v>2040</v>
      </c>
    </row>
    <row r="555" spans="1:9" x14ac:dyDescent="0.2">
      <c r="A555" s="245" t="s">
        <v>2315</v>
      </c>
      <c r="B555" s="126" t="s">
        <v>1956</v>
      </c>
      <c r="C555" s="10">
        <v>0</v>
      </c>
      <c r="D555" s="10">
        <v>0</v>
      </c>
      <c r="E555" s="10">
        <v>0</v>
      </c>
      <c r="F555" s="10">
        <v>1400.1</v>
      </c>
      <c r="G555" s="10">
        <v>1427.03</v>
      </c>
      <c r="H555" s="10">
        <v>1400</v>
      </c>
      <c r="I555" s="10">
        <f t="shared" si="100"/>
        <v>1400</v>
      </c>
    </row>
    <row r="556" spans="1:9" x14ac:dyDescent="0.2">
      <c r="A556" s="245" t="s">
        <v>1062</v>
      </c>
      <c r="B556" s="126" t="s">
        <v>1891</v>
      </c>
      <c r="C556" s="10">
        <v>7869.72</v>
      </c>
      <c r="D556" s="10">
        <v>9132.2099999999991</v>
      </c>
      <c r="E556" s="10">
        <v>12373.94</v>
      </c>
      <c r="F556" s="10">
        <v>9840.06</v>
      </c>
      <c r="G556" s="10">
        <v>11871.09</v>
      </c>
      <c r="H556" s="10">
        <v>14263.424999999999</v>
      </c>
      <c r="I556" s="10">
        <v>18679</v>
      </c>
    </row>
    <row r="557" spans="1:9" x14ac:dyDescent="0.2">
      <c r="A557" s="245" t="s">
        <v>1063</v>
      </c>
      <c r="B557" s="126" t="s">
        <v>1892</v>
      </c>
      <c r="C557" s="10">
        <v>12738.6</v>
      </c>
      <c r="D557" s="10">
        <v>14942.8</v>
      </c>
      <c r="E557" s="10">
        <v>19795.64</v>
      </c>
      <c r="F557" s="10">
        <v>16106.08</v>
      </c>
      <c r="G557" s="10">
        <v>19189.29</v>
      </c>
      <c r="H557" s="10">
        <v>22179.275999999998</v>
      </c>
      <c r="I557" s="10">
        <v>30400</v>
      </c>
    </row>
    <row r="558" spans="1:9" x14ac:dyDescent="0.2">
      <c r="A558" s="245" t="s">
        <v>1064</v>
      </c>
      <c r="B558" s="126" t="s">
        <v>1893</v>
      </c>
      <c r="C558" s="10">
        <v>13920</v>
      </c>
      <c r="D558" s="10">
        <v>17449.45</v>
      </c>
      <c r="E558" s="10">
        <v>21974.29</v>
      </c>
      <c r="F558" s="10">
        <v>14861.45</v>
      </c>
      <c r="G558" s="10">
        <v>15048.54</v>
      </c>
      <c r="H558" s="10">
        <v>23635</v>
      </c>
      <c r="I558" s="10">
        <v>23400</v>
      </c>
    </row>
    <row r="559" spans="1:9" x14ac:dyDescent="0.2">
      <c r="A559" s="245" t="s">
        <v>1060</v>
      </c>
      <c r="B559" s="126" t="s">
        <v>1894</v>
      </c>
      <c r="C559" s="10">
        <v>4844.12</v>
      </c>
      <c r="D559" s="10">
        <v>5483.21</v>
      </c>
      <c r="E559" s="10">
        <v>7015.56</v>
      </c>
      <c r="F559" s="10">
        <v>4800.12</v>
      </c>
      <c r="G559" s="10">
        <v>6092.46</v>
      </c>
      <c r="H559" s="10">
        <v>7200</v>
      </c>
      <c r="I559" s="10">
        <v>9600</v>
      </c>
    </row>
    <row r="560" spans="1:9" x14ac:dyDescent="0.2">
      <c r="A560" s="245" t="s">
        <v>1065</v>
      </c>
      <c r="B560" s="126" t="s">
        <v>1895</v>
      </c>
      <c r="C560" s="10">
        <v>914.55</v>
      </c>
      <c r="D560" s="10">
        <v>2860.43</v>
      </c>
      <c r="E560" s="10">
        <v>931.86</v>
      </c>
      <c r="F560" s="10">
        <v>618.25</v>
      </c>
      <c r="G560" s="10">
        <v>333.32</v>
      </c>
      <c r="H560" s="10">
        <v>1500</v>
      </c>
      <c r="I560" s="10">
        <f t="shared" si="100"/>
        <v>1500</v>
      </c>
    </row>
    <row r="561" spans="1:9" x14ac:dyDescent="0.2">
      <c r="A561" s="245" t="s">
        <v>1066</v>
      </c>
      <c r="B561" s="126" t="s">
        <v>1896</v>
      </c>
      <c r="C561" s="10">
        <v>19.899999999999999</v>
      </c>
      <c r="D561" s="10">
        <v>0</v>
      </c>
      <c r="E561" s="10">
        <v>0.5</v>
      </c>
      <c r="F561" s="10">
        <v>0</v>
      </c>
      <c r="G561" s="10">
        <v>20.72</v>
      </c>
      <c r="H561" s="10">
        <v>100</v>
      </c>
      <c r="I561" s="10">
        <f t="shared" si="100"/>
        <v>100</v>
      </c>
    </row>
    <row r="562" spans="1:9" x14ac:dyDescent="0.2">
      <c r="A562" s="245" t="s">
        <v>1067</v>
      </c>
      <c r="B562" s="126" t="s">
        <v>1897</v>
      </c>
      <c r="C562" s="18">
        <v>720</v>
      </c>
      <c r="D562" s="18">
        <v>780</v>
      </c>
      <c r="E562" s="18">
        <v>2282.7399999999998</v>
      </c>
      <c r="F562" s="18">
        <v>2282.5100000000002</v>
      </c>
      <c r="G562" s="18">
        <v>2807.87</v>
      </c>
      <c r="H562" s="10">
        <v>3000</v>
      </c>
      <c r="I562" s="10">
        <v>3500</v>
      </c>
    </row>
    <row r="563" spans="1:9" x14ac:dyDescent="0.2">
      <c r="A563" s="245" t="s">
        <v>1068</v>
      </c>
      <c r="B563" s="126" t="s">
        <v>1898</v>
      </c>
      <c r="C563" s="10">
        <v>1521.72</v>
      </c>
      <c r="D563" s="10">
        <v>2030.55</v>
      </c>
      <c r="E563" s="10">
        <v>5346.37</v>
      </c>
      <c r="F563" s="10">
        <v>595</v>
      </c>
      <c r="G563" s="10">
        <v>1823.08</v>
      </c>
      <c r="H563" s="10">
        <v>15000</v>
      </c>
      <c r="I563" s="10">
        <f t="shared" si="100"/>
        <v>15000</v>
      </c>
    </row>
    <row r="564" spans="1:9" x14ac:dyDescent="0.2">
      <c r="A564" s="245" t="s">
        <v>1069</v>
      </c>
      <c r="B564" s="126" t="s">
        <v>1900</v>
      </c>
      <c r="C564" s="37">
        <v>5688.45</v>
      </c>
      <c r="D564" s="37">
        <v>4638.09</v>
      </c>
      <c r="E564" s="37">
        <v>1567.83</v>
      </c>
      <c r="F564" s="37">
        <v>19097.3</v>
      </c>
      <c r="G564" s="37">
        <v>2814.87</v>
      </c>
      <c r="H564" s="12">
        <v>8000</v>
      </c>
      <c r="I564" s="12">
        <v>19500</v>
      </c>
    </row>
    <row r="565" spans="1:9" x14ac:dyDescent="0.2">
      <c r="A565" s="245"/>
      <c r="B565" s="6" t="s">
        <v>1118</v>
      </c>
      <c r="C565" s="12">
        <f t="shared" ref="C565:G565" si="101">SUM(C550:C564)</f>
        <v>157009.43</v>
      </c>
      <c r="D565" s="12">
        <f t="shared" si="101"/>
        <v>183153.09999999998</v>
      </c>
      <c r="E565" s="12">
        <f t="shared" si="101"/>
        <v>236184.86999999994</v>
      </c>
      <c r="F565" s="12">
        <f t="shared" si="101"/>
        <v>197291.1</v>
      </c>
      <c r="G565" s="12">
        <f t="shared" si="101"/>
        <v>214121.83</v>
      </c>
      <c r="H565" s="12">
        <f t="shared" ref="H565:I565" si="102">SUM(H550:H564)</f>
        <v>273167.701</v>
      </c>
      <c r="I565" s="12">
        <f t="shared" si="102"/>
        <v>354814</v>
      </c>
    </row>
    <row r="566" spans="1:9" x14ac:dyDescent="0.2">
      <c r="A566" s="245"/>
      <c r="C566" s="129" t="str">
        <f>+$C$4</f>
        <v>2018 ACTUAL</v>
      </c>
      <c r="D566" s="218"/>
      <c r="E566" s="218"/>
      <c r="F566" s="218"/>
      <c r="G566" s="218"/>
      <c r="H566" s="218"/>
      <c r="I566" s="218"/>
    </row>
    <row r="567" spans="1:9" x14ac:dyDescent="0.2">
      <c r="A567" s="246" t="s">
        <v>1070</v>
      </c>
      <c r="B567" s="4" t="s">
        <v>1298</v>
      </c>
      <c r="C567" s="10"/>
      <c r="E567" s="10"/>
      <c r="G567" s="10"/>
      <c r="H567" s="10"/>
      <c r="I567" s="10"/>
    </row>
    <row r="568" spans="1:9" x14ac:dyDescent="0.2">
      <c r="A568" s="245" t="s">
        <v>1071</v>
      </c>
      <c r="B568" s="126" t="s">
        <v>1905</v>
      </c>
      <c r="C568" s="10">
        <v>36529.360000000001</v>
      </c>
      <c r="D568" s="10">
        <v>38573.47</v>
      </c>
      <c r="E568" s="10">
        <v>41637.08</v>
      </c>
      <c r="F568" s="10">
        <v>42829.8</v>
      </c>
      <c r="G568" s="10">
        <v>44899.02</v>
      </c>
      <c r="H568" s="10">
        <v>46151</v>
      </c>
      <c r="I568" s="242">
        <v>58317</v>
      </c>
    </row>
    <row r="569" spans="1:9" x14ac:dyDescent="0.2">
      <c r="A569" s="245" t="s">
        <v>1073</v>
      </c>
      <c r="B569" s="126" t="s">
        <v>1983</v>
      </c>
      <c r="C569" s="10">
        <v>63488.71</v>
      </c>
      <c r="D569" s="10">
        <v>60626.77</v>
      </c>
      <c r="E569" s="10">
        <v>61990.53</v>
      </c>
      <c r="F569" s="10">
        <v>69005.039999999994</v>
      </c>
      <c r="G569" s="10">
        <v>76127.179999999993</v>
      </c>
      <c r="H569" s="10">
        <v>80574</v>
      </c>
      <c r="I569" s="10">
        <f>36879+28201+28201+28201</f>
        <v>121482</v>
      </c>
    </row>
    <row r="570" spans="1:9" x14ac:dyDescent="0.2">
      <c r="A570" s="245" t="s">
        <v>1072</v>
      </c>
      <c r="B570" s="126" t="s">
        <v>1989</v>
      </c>
      <c r="C570" s="18">
        <v>158804.42000000001</v>
      </c>
      <c r="D570" s="18">
        <v>140256.81</v>
      </c>
      <c r="E570" s="18">
        <v>165268.24</v>
      </c>
      <c r="F570" s="18">
        <v>175635.98</v>
      </c>
      <c r="G570" s="18">
        <v>185847.71</v>
      </c>
      <c r="H570" s="10">
        <v>189166</v>
      </c>
      <c r="I570" s="10">
        <f>43003+40564+40564+40564</f>
        <v>164695</v>
      </c>
    </row>
    <row r="571" spans="1:9" x14ac:dyDescent="0.2">
      <c r="A571" s="245" t="s">
        <v>1270</v>
      </c>
      <c r="B571" s="126" t="s">
        <v>1984</v>
      </c>
      <c r="C571" s="10">
        <v>12619.92</v>
      </c>
      <c r="D571" s="10">
        <v>11971.25</v>
      </c>
      <c r="E571" s="10">
        <v>8915.52</v>
      </c>
      <c r="F571" s="10">
        <v>7614.09</v>
      </c>
      <c r="G571" s="10">
        <v>15242.99</v>
      </c>
      <c r="H571" s="10">
        <v>17586</v>
      </c>
      <c r="I571" s="10">
        <v>18465</v>
      </c>
    </row>
    <row r="572" spans="1:9" x14ac:dyDescent="0.2">
      <c r="A572" s="245" t="s">
        <v>2538</v>
      </c>
      <c r="B572" s="126" t="s">
        <v>2525</v>
      </c>
      <c r="C572" s="10">
        <v>0</v>
      </c>
      <c r="D572" s="10">
        <v>0</v>
      </c>
      <c r="E572" s="10">
        <v>0</v>
      </c>
      <c r="F572" s="10">
        <v>0</v>
      </c>
      <c r="G572" s="10">
        <v>0</v>
      </c>
      <c r="H572" s="10">
        <v>5000</v>
      </c>
      <c r="I572" s="10">
        <v>5000</v>
      </c>
    </row>
    <row r="573" spans="1:9" x14ac:dyDescent="0.2">
      <c r="A573" s="245" t="s">
        <v>1074</v>
      </c>
      <c r="B573" s="126" t="s">
        <v>1990</v>
      </c>
      <c r="C573" s="10">
        <v>17928.73</v>
      </c>
      <c r="D573" s="10">
        <v>14105.87</v>
      </c>
      <c r="E573" s="10">
        <v>17214.97</v>
      </c>
      <c r="F573" s="10">
        <v>17915.990000000002</v>
      </c>
      <c r="G573" s="10">
        <v>17840.75</v>
      </c>
      <c r="H573" s="10">
        <v>10049</v>
      </c>
      <c r="I573" s="10">
        <v>10551</v>
      </c>
    </row>
    <row r="574" spans="1:9" x14ac:dyDescent="0.2">
      <c r="A574" s="245" t="s">
        <v>1075</v>
      </c>
      <c r="B574" s="126" t="s">
        <v>1889</v>
      </c>
      <c r="C574" s="10">
        <v>840.05</v>
      </c>
      <c r="D574" s="10">
        <v>1629.06</v>
      </c>
      <c r="E574" s="10">
        <v>1553.12</v>
      </c>
      <c r="F574" s="10">
        <v>1666.02</v>
      </c>
      <c r="G574" s="10">
        <v>1984.71</v>
      </c>
      <c r="H574" s="10">
        <v>2340</v>
      </c>
      <c r="I574" s="10">
        <v>2820</v>
      </c>
    </row>
    <row r="575" spans="1:9" x14ac:dyDescent="0.2">
      <c r="A575" s="245" t="s">
        <v>1077</v>
      </c>
      <c r="B575" s="126" t="s">
        <v>1891</v>
      </c>
      <c r="C575" s="18">
        <v>22036.21</v>
      </c>
      <c r="D575" s="18">
        <v>20575.21</v>
      </c>
      <c r="E575" s="18">
        <v>23060.23</v>
      </c>
      <c r="F575" s="18">
        <v>24153.06</v>
      </c>
      <c r="G575" s="18">
        <v>26140.83</v>
      </c>
      <c r="H575" s="10">
        <v>27780</v>
      </c>
      <c r="I575" s="10">
        <v>30111</v>
      </c>
    </row>
    <row r="576" spans="1:9" x14ac:dyDescent="0.2">
      <c r="A576" s="245" t="s">
        <v>1078</v>
      </c>
      <c r="B576" s="126" t="s">
        <v>1892</v>
      </c>
      <c r="C576" s="18">
        <v>33960.83</v>
      </c>
      <c r="D576" s="18">
        <v>31045.57</v>
      </c>
      <c r="E576" s="18">
        <v>36446</v>
      </c>
      <c r="F576" s="18">
        <v>39148.410000000003</v>
      </c>
      <c r="G576" s="18">
        <v>42535.85</v>
      </c>
      <c r="H576" s="10">
        <v>43647.7304</v>
      </c>
      <c r="I576" s="10">
        <v>49004</v>
      </c>
    </row>
    <row r="577" spans="1:9" x14ac:dyDescent="0.2">
      <c r="A577" s="245" t="s">
        <v>1079</v>
      </c>
      <c r="B577" s="126" t="s">
        <v>1893</v>
      </c>
      <c r="C577" s="10">
        <v>55998.77</v>
      </c>
      <c r="D577" s="10">
        <v>51685</v>
      </c>
      <c r="E577" s="10">
        <v>44049.49</v>
      </c>
      <c r="F577" s="10">
        <v>44525</v>
      </c>
      <c r="G577" s="10">
        <v>53950</v>
      </c>
      <c r="H577" s="10">
        <v>63104</v>
      </c>
      <c r="I577" s="10">
        <v>62400</v>
      </c>
    </row>
    <row r="578" spans="1:9" x14ac:dyDescent="0.2">
      <c r="A578" s="245" t="s">
        <v>1076</v>
      </c>
      <c r="B578" s="126" t="s">
        <v>1894</v>
      </c>
      <c r="C578" s="10">
        <v>9675.86</v>
      </c>
      <c r="D578" s="10">
        <v>7969.15</v>
      </c>
      <c r="E578" s="10">
        <v>9648.19</v>
      </c>
      <c r="F578" s="10">
        <v>11076</v>
      </c>
      <c r="G578" s="10">
        <v>11289</v>
      </c>
      <c r="H578" s="10">
        <v>11075</v>
      </c>
      <c r="I578" s="10">
        <v>11075</v>
      </c>
    </row>
    <row r="579" spans="1:9" x14ac:dyDescent="0.2">
      <c r="A579" s="245" t="s">
        <v>1080</v>
      </c>
      <c r="B579" s="126" t="s">
        <v>1991</v>
      </c>
      <c r="C579" s="18">
        <v>5827.25</v>
      </c>
      <c r="D579" s="18">
        <v>5707.15</v>
      </c>
      <c r="E579" s="18">
        <v>5838.92</v>
      </c>
      <c r="F579" s="18">
        <v>6714.72</v>
      </c>
      <c r="G579" s="18">
        <v>8036.25</v>
      </c>
      <c r="H579" s="10">
        <v>6500</v>
      </c>
      <c r="I579" s="10">
        <v>8000</v>
      </c>
    </row>
    <row r="580" spans="1:9" x14ac:dyDescent="0.2">
      <c r="A580" s="245" t="s">
        <v>1081</v>
      </c>
      <c r="B580" s="126" t="s">
        <v>1895</v>
      </c>
      <c r="C580" s="10">
        <v>598.04</v>
      </c>
      <c r="D580" s="10">
        <v>186.29</v>
      </c>
      <c r="E580" s="10">
        <v>143.88999999999999</v>
      </c>
      <c r="F580" s="10">
        <v>604.62</v>
      </c>
      <c r="G580" s="10">
        <v>221.63</v>
      </c>
      <c r="H580" s="10">
        <v>1000</v>
      </c>
      <c r="I580" s="10">
        <v>1200</v>
      </c>
    </row>
    <row r="581" spans="1:9" x14ac:dyDescent="0.2">
      <c r="A581" s="245" t="s">
        <v>1142</v>
      </c>
      <c r="B581" s="126" t="s">
        <v>1992</v>
      </c>
      <c r="C581" s="18">
        <v>16692.150000000001</v>
      </c>
      <c r="D581" s="18">
        <v>17412.919999999998</v>
      </c>
      <c r="E581" s="18">
        <v>13696.35</v>
      </c>
      <c r="F581" s="18">
        <v>20143.919999999998</v>
      </c>
      <c r="G581" s="18">
        <v>23487.55</v>
      </c>
      <c r="H581" s="10">
        <v>30000</v>
      </c>
      <c r="I581" s="10">
        <v>30000</v>
      </c>
    </row>
    <row r="582" spans="1:9" x14ac:dyDescent="0.2">
      <c r="A582" s="245" t="s">
        <v>55</v>
      </c>
      <c r="B582" s="126" t="s">
        <v>1968</v>
      </c>
      <c r="C582" s="18">
        <v>3002.36</v>
      </c>
      <c r="D582" s="18">
        <v>2410.86</v>
      </c>
      <c r="E582" s="18">
        <v>1850.86</v>
      </c>
      <c r="F582" s="18">
        <v>2972.94</v>
      </c>
      <c r="G582" s="18">
        <v>5274.77</v>
      </c>
      <c r="H582" s="10">
        <v>6000</v>
      </c>
      <c r="I582" s="10">
        <v>6000</v>
      </c>
    </row>
    <row r="583" spans="1:9" x14ac:dyDescent="0.2">
      <c r="A583" s="245" t="s">
        <v>1143</v>
      </c>
      <c r="B583" s="126" t="s">
        <v>1897</v>
      </c>
      <c r="C583" s="18">
        <v>960</v>
      </c>
      <c r="D583" s="18">
        <v>740</v>
      </c>
      <c r="E583" s="18">
        <v>680</v>
      </c>
      <c r="F583" s="18">
        <v>720</v>
      </c>
      <c r="G583" s="18">
        <v>900</v>
      </c>
      <c r="H583" s="10">
        <v>1200</v>
      </c>
      <c r="I583" s="10">
        <f>960+240</f>
        <v>1200</v>
      </c>
    </row>
    <row r="584" spans="1:9" x14ac:dyDescent="0.2">
      <c r="A584" s="245" t="s">
        <v>1146</v>
      </c>
      <c r="B584" s="126" t="s">
        <v>1898</v>
      </c>
      <c r="C584" s="18">
        <v>0</v>
      </c>
      <c r="D584" s="18">
        <v>327.75</v>
      </c>
      <c r="E584" s="18">
        <v>0</v>
      </c>
      <c r="F584" s="18">
        <v>0</v>
      </c>
      <c r="G584" s="18">
        <v>81.45</v>
      </c>
      <c r="H584" s="10">
        <v>0</v>
      </c>
      <c r="I584" s="10">
        <f t="shared" ref="I584:I593" si="103">+H584</f>
        <v>0</v>
      </c>
    </row>
    <row r="585" spans="1:9" x14ac:dyDescent="0.2">
      <c r="A585" s="245" t="s">
        <v>1144</v>
      </c>
      <c r="B585" s="126" t="s">
        <v>1993</v>
      </c>
      <c r="C585" s="18">
        <v>199696.5</v>
      </c>
      <c r="D585" s="18">
        <v>179511.82</v>
      </c>
      <c r="E585" s="18">
        <v>175258.26</v>
      </c>
      <c r="F585" s="18">
        <v>187345.92000000001</v>
      </c>
      <c r="G585" s="18">
        <v>210898.72</v>
      </c>
      <c r="H585" s="10">
        <v>230000</v>
      </c>
      <c r="I585" s="10">
        <v>230000</v>
      </c>
    </row>
    <row r="586" spans="1:9" x14ac:dyDescent="0.2">
      <c r="A586" s="245" t="s">
        <v>86</v>
      </c>
      <c r="B586" s="126" t="s">
        <v>1971</v>
      </c>
      <c r="C586" s="10">
        <v>1158.8800000000001</v>
      </c>
      <c r="D586" s="10">
        <v>1091.6300000000001</v>
      </c>
      <c r="E586" s="10">
        <v>932.89</v>
      </c>
      <c r="F586" s="10">
        <v>6115.49</v>
      </c>
      <c r="G586" s="10">
        <v>1111.97</v>
      </c>
      <c r="H586" s="10">
        <v>1500</v>
      </c>
      <c r="I586" s="10">
        <v>2500</v>
      </c>
    </row>
    <row r="587" spans="1:9" x14ac:dyDescent="0.2">
      <c r="A587" s="245" t="s">
        <v>1145</v>
      </c>
      <c r="B587" s="126" t="s">
        <v>1922</v>
      </c>
      <c r="C587" s="10">
        <v>80505</v>
      </c>
      <c r="D587" s="10">
        <v>46110.18</v>
      </c>
      <c r="E587" s="10">
        <v>84625.34</v>
      </c>
      <c r="F587" s="10">
        <v>70195.509999999995</v>
      </c>
      <c r="G587" s="10">
        <v>78837.08</v>
      </c>
      <c r="H587" s="10">
        <v>86000</v>
      </c>
      <c r="I587" s="10">
        <f t="shared" si="103"/>
        <v>86000</v>
      </c>
    </row>
    <row r="588" spans="1:9" x14ac:dyDescent="0.2">
      <c r="A588" s="245" t="s">
        <v>1147</v>
      </c>
      <c r="B588" s="126" t="s">
        <v>1903</v>
      </c>
      <c r="C588" s="10">
        <v>56580.99</v>
      </c>
      <c r="D588" s="10">
        <v>74036.62</v>
      </c>
      <c r="E588" s="10">
        <v>60707.13</v>
      </c>
      <c r="F588" s="10">
        <v>93692.07</v>
      </c>
      <c r="G588" s="10">
        <v>96048.05</v>
      </c>
      <c r="H588" s="10">
        <v>95000</v>
      </c>
      <c r="I588" s="10">
        <v>100000</v>
      </c>
    </row>
    <row r="589" spans="1:9" x14ac:dyDescent="0.2">
      <c r="A589" s="245" t="s">
        <v>1148</v>
      </c>
      <c r="B589" s="126" t="s">
        <v>1900</v>
      </c>
      <c r="C589" s="10">
        <v>1378.81</v>
      </c>
      <c r="D589" s="10">
        <v>416.56</v>
      </c>
      <c r="E589" s="10">
        <v>4190.4799999999996</v>
      </c>
      <c r="F589" s="10">
        <v>3006.27</v>
      </c>
      <c r="G589" s="10">
        <v>331.76</v>
      </c>
      <c r="H589" s="10">
        <v>4000</v>
      </c>
      <c r="I589" s="10">
        <v>4000</v>
      </c>
    </row>
    <row r="590" spans="1:9" x14ac:dyDescent="0.2">
      <c r="A590" s="245" t="s">
        <v>1333</v>
      </c>
      <c r="B590" s="126" t="s">
        <v>1994</v>
      </c>
      <c r="C590" s="10">
        <v>0</v>
      </c>
      <c r="D590" s="10">
        <v>0</v>
      </c>
      <c r="E590" s="10">
        <v>0</v>
      </c>
      <c r="F590" s="10">
        <v>0</v>
      </c>
      <c r="G590" s="10">
        <v>0</v>
      </c>
      <c r="H590" s="10">
        <v>0</v>
      </c>
      <c r="I590" s="10">
        <v>0</v>
      </c>
    </row>
    <row r="591" spans="1:9" x14ac:dyDescent="0.2">
      <c r="A591" s="245" t="s">
        <v>2300</v>
      </c>
      <c r="B591" s="126" t="s">
        <v>2301</v>
      </c>
      <c r="C591" s="10">
        <v>0</v>
      </c>
      <c r="D591" s="10">
        <v>0</v>
      </c>
      <c r="E591" s="10">
        <v>50.3</v>
      </c>
      <c r="F591" s="10">
        <v>10808.12</v>
      </c>
      <c r="G591" s="10">
        <v>9088.6200000000008</v>
      </c>
      <c r="H591" s="10">
        <v>17588.28</v>
      </c>
      <c r="I591" s="10">
        <v>20430.72</v>
      </c>
    </row>
    <row r="592" spans="1:9" x14ac:dyDescent="0.2">
      <c r="A592" s="245" t="s">
        <v>1334</v>
      </c>
      <c r="B592" s="126" t="s">
        <v>1995</v>
      </c>
      <c r="C592" s="10">
        <v>59767.62</v>
      </c>
      <c r="D592" s="10">
        <v>0</v>
      </c>
      <c r="E592" s="10">
        <v>0</v>
      </c>
      <c r="F592" s="10">
        <v>0</v>
      </c>
      <c r="G592" s="10">
        <v>0</v>
      </c>
      <c r="H592" s="10">
        <v>223533</v>
      </c>
      <c r="I592" s="10">
        <v>0</v>
      </c>
    </row>
    <row r="593" spans="1:9" x14ac:dyDescent="0.2">
      <c r="A593" s="245" t="s">
        <v>1335</v>
      </c>
      <c r="B593" s="126" t="s">
        <v>1996</v>
      </c>
      <c r="C593" s="12">
        <v>22663.26</v>
      </c>
      <c r="D593" s="12">
        <v>0</v>
      </c>
      <c r="E593" s="12">
        <v>0</v>
      </c>
      <c r="F593" s="12">
        <v>0</v>
      </c>
      <c r="G593" s="12">
        <v>0</v>
      </c>
      <c r="H593" s="12">
        <v>0</v>
      </c>
      <c r="I593" s="12">
        <f t="shared" si="103"/>
        <v>0</v>
      </c>
    </row>
    <row r="594" spans="1:9" x14ac:dyDescent="0.2">
      <c r="A594" s="245"/>
      <c r="B594" s="6" t="s">
        <v>1118</v>
      </c>
      <c r="C594" s="12">
        <f t="shared" ref="C594:G594" si="104">SUM(C568:C593)</f>
        <v>860713.72000000009</v>
      </c>
      <c r="D594" s="12">
        <f t="shared" si="104"/>
        <v>706389.94000000006</v>
      </c>
      <c r="E594" s="12">
        <f t="shared" si="104"/>
        <v>757757.78999999992</v>
      </c>
      <c r="F594" s="12">
        <f t="shared" si="104"/>
        <v>835888.97000000009</v>
      </c>
      <c r="G594" s="12">
        <f t="shared" si="104"/>
        <v>910175.89</v>
      </c>
      <c r="H594" s="12">
        <f t="shared" ref="H594:I594" si="105">SUM(H568:H593)</f>
        <v>1198794.0104</v>
      </c>
      <c r="I594" s="12">
        <f t="shared" si="105"/>
        <v>1023250.72</v>
      </c>
    </row>
    <row r="595" spans="1:9" x14ac:dyDescent="0.2">
      <c r="A595" s="245"/>
      <c r="B595" s="6"/>
      <c r="C595" s="10"/>
      <c r="E595" s="10"/>
      <c r="G595" s="115"/>
      <c r="H595" s="10"/>
      <c r="I595" s="10"/>
    </row>
    <row r="596" spans="1:9" x14ac:dyDescent="0.2">
      <c r="A596" s="245"/>
      <c r="B596" s="4" t="s">
        <v>653</v>
      </c>
      <c r="C596" s="112" t="s">
        <v>1433</v>
      </c>
      <c r="D596" s="112" t="s">
        <v>1433</v>
      </c>
      <c r="E596" s="112" t="s">
        <v>1433</v>
      </c>
      <c r="F596" s="112" t="s">
        <v>1433</v>
      </c>
      <c r="G596" s="222" t="s">
        <v>1433</v>
      </c>
      <c r="H596" s="112" t="s">
        <v>1433</v>
      </c>
      <c r="I596" s="112" t="s">
        <v>1433</v>
      </c>
    </row>
    <row r="597" spans="1:9" x14ac:dyDescent="0.2">
      <c r="A597" s="245"/>
      <c r="B597" s="4" t="s">
        <v>980</v>
      </c>
      <c r="C597" s="112" t="s">
        <v>1433</v>
      </c>
      <c r="D597" s="112" t="s">
        <v>1433</v>
      </c>
      <c r="E597" s="112" t="s">
        <v>1433</v>
      </c>
      <c r="F597" s="112" t="s">
        <v>1433</v>
      </c>
      <c r="G597" s="222" t="s">
        <v>1433</v>
      </c>
      <c r="H597" s="112" t="s">
        <v>1433</v>
      </c>
      <c r="I597" s="112" t="s">
        <v>1433</v>
      </c>
    </row>
    <row r="598" spans="1:9" x14ac:dyDescent="0.2">
      <c r="A598" s="245"/>
      <c r="B598" s="4" t="s">
        <v>138</v>
      </c>
      <c r="C598" s="112" t="s">
        <v>1433</v>
      </c>
      <c r="D598" s="112" t="s">
        <v>1433</v>
      </c>
      <c r="E598" s="112" t="s">
        <v>1433</v>
      </c>
      <c r="F598" s="112" t="s">
        <v>1433</v>
      </c>
      <c r="G598" s="222" t="s">
        <v>1433</v>
      </c>
      <c r="H598" s="112" t="s">
        <v>1433</v>
      </c>
      <c r="I598" s="112" t="s">
        <v>1433</v>
      </c>
    </row>
    <row r="599" spans="1:9" x14ac:dyDescent="0.2">
      <c r="A599" s="245"/>
      <c r="C599" s="129" t="str">
        <f>+$C$4</f>
        <v>2018 ACTUAL</v>
      </c>
      <c r="D599" s="129" t="str">
        <f t="shared" ref="D599:I599" si="106">+D$4</f>
        <v>2019 ACTUAL</v>
      </c>
      <c r="E599" s="129" t="str">
        <f t="shared" si="106"/>
        <v>2020 ACTUAL</v>
      </c>
      <c r="F599" s="129" t="str">
        <f t="shared" si="106"/>
        <v>2021 ACTUAL</v>
      </c>
      <c r="G599" s="223" t="str">
        <f t="shared" si="106"/>
        <v>2022 ACTUAL</v>
      </c>
      <c r="H599" s="129" t="str">
        <f t="shared" si="106"/>
        <v xml:space="preserve">2023 BUDGET </v>
      </c>
      <c r="I599" s="129" t="str">
        <f t="shared" si="106"/>
        <v xml:space="preserve">2024 BUDGET </v>
      </c>
    </row>
    <row r="600" spans="1:9" x14ac:dyDescent="0.2">
      <c r="A600" s="251" t="s">
        <v>1149</v>
      </c>
      <c r="B600" s="4" t="s">
        <v>1299</v>
      </c>
      <c r="C600" s="10"/>
      <c r="E600" s="10"/>
      <c r="G600" s="115"/>
      <c r="H600" s="10"/>
      <c r="I600" s="10"/>
    </row>
    <row r="601" spans="1:9" x14ac:dyDescent="0.2">
      <c r="A601" s="245" t="s">
        <v>1150</v>
      </c>
      <c r="B601" s="126" t="s">
        <v>1905</v>
      </c>
      <c r="C601" s="18">
        <v>46976.28</v>
      </c>
      <c r="D601" s="18">
        <v>47776.04</v>
      </c>
      <c r="E601" s="18">
        <v>46807.88</v>
      </c>
      <c r="F601" s="18">
        <v>48708.92</v>
      </c>
      <c r="G601" s="18">
        <v>50873.49</v>
      </c>
      <c r="H601" s="10">
        <v>51109</v>
      </c>
      <c r="I601" s="10">
        <v>0</v>
      </c>
    </row>
    <row r="602" spans="1:9" x14ac:dyDescent="0.2">
      <c r="A602" s="245" t="s">
        <v>1151</v>
      </c>
      <c r="B602" s="126" t="s">
        <v>1997</v>
      </c>
      <c r="C602" s="10">
        <v>34971.199999999997</v>
      </c>
      <c r="D602" s="10">
        <v>36555.230000000003</v>
      </c>
      <c r="E602" s="10">
        <v>12927.58</v>
      </c>
      <c r="F602" s="10">
        <v>28174.91</v>
      </c>
      <c r="G602" s="10">
        <v>25796.26</v>
      </c>
      <c r="H602" s="10">
        <v>76240</v>
      </c>
      <c r="I602" s="10">
        <v>0</v>
      </c>
    </row>
    <row r="603" spans="1:9" x14ac:dyDescent="0.2">
      <c r="A603" s="245" t="s">
        <v>1152</v>
      </c>
      <c r="B603" s="126" t="s">
        <v>1904</v>
      </c>
      <c r="C603" s="10">
        <v>26245.96</v>
      </c>
      <c r="D603" s="10">
        <v>27045.98</v>
      </c>
      <c r="E603" s="10">
        <v>28416.86</v>
      </c>
      <c r="F603" s="10">
        <v>29621.8</v>
      </c>
      <c r="G603" s="10">
        <v>31430.65</v>
      </c>
      <c r="H603" s="10">
        <v>32612</v>
      </c>
      <c r="I603" s="10">
        <v>0</v>
      </c>
    </row>
    <row r="604" spans="1:9" x14ac:dyDescent="0.2">
      <c r="A604" s="245" t="s">
        <v>479</v>
      </c>
      <c r="B604" s="126" t="s">
        <v>1998</v>
      </c>
      <c r="C604" s="10">
        <v>3199.82</v>
      </c>
      <c r="D604" s="10">
        <v>3199.82</v>
      </c>
      <c r="E604" s="10">
        <v>1230.7</v>
      </c>
      <c r="F604" s="10">
        <v>2584.4699999999998</v>
      </c>
      <c r="G604" s="10">
        <v>3261.36</v>
      </c>
      <c r="H604" s="10">
        <v>3200</v>
      </c>
      <c r="I604" s="10">
        <v>0</v>
      </c>
    </row>
    <row r="605" spans="1:9" x14ac:dyDescent="0.2">
      <c r="A605" s="245" t="s">
        <v>1821</v>
      </c>
      <c r="B605" s="126" t="s">
        <v>1999</v>
      </c>
      <c r="C605" s="10">
        <v>0</v>
      </c>
      <c r="D605" s="10">
        <v>0</v>
      </c>
      <c r="E605" s="10">
        <v>19535.32</v>
      </c>
      <c r="F605" s="10">
        <v>21571.16</v>
      </c>
      <c r="G605" s="10">
        <v>22842.22</v>
      </c>
      <c r="H605" s="10">
        <v>23252</v>
      </c>
      <c r="I605" s="10">
        <v>0</v>
      </c>
    </row>
    <row r="606" spans="1:9" x14ac:dyDescent="0.2">
      <c r="A606" s="245" t="s">
        <v>1153</v>
      </c>
      <c r="B606" s="126" t="s">
        <v>1889</v>
      </c>
      <c r="C606" s="10">
        <v>895.25</v>
      </c>
      <c r="D606" s="10">
        <v>1649.86</v>
      </c>
      <c r="E606" s="10">
        <v>1520.79</v>
      </c>
      <c r="F606" s="10">
        <v>1435.52</v>
      </c>
      <c r="G606" s="10">
        <v>1615.39</v>
      </c>
      <c r="H606" s="10">
        <v>1620</v>
      </c>
      <c r="I606" s="10">
        <v>0</v>
      </c>
    </row>
    <row r="607" spans="1:9" x14ac:dyDescent="0.2">
      <c r="A607" s="245" t="s">
        <v>1154</v>
      </c>
      <c r="B607" s="126" t="s">
        <v>1956</v>
      </c>
      <c r="C607" s="10">
        <v>3400.02</v>
      </c>
      <c r="D607" s="10">
        <v>3400.02</v>
      </c>
      <c r="E607" s="10">
        <v>2692.21</v>
      </c>
      <c r="F607" s="10">
        <v>1999.92</v>
      </c>
      <c r="G607" s="10">
        <v>3422.94</v>
      </c>
      <c r="H607" s="10">
        <v>4000</v>
      </c>
      <c r="I607" s="10">
        <v>0</v>
      </c>
    </row>
    <row r="608" spans="1:9" x14ac:dyDescent="0.2">
      <c r="A608" s="245" t="s">
        <v>1155</v>
      </c>
      <c r="B608" s="126" t="s">
        <v>1891</v>
      </c>
      <c r="C608" s="10">
        <v>8108.31</v>
      </c>
      <c r="D608" s="10">
        <v>8327.6200000000008</v>
      </c>
      <c r="E608" s="10">
        <v>7974.04</v>
      </c>
      <c r="F608" s="10">
        <v>9707.85</v>
      </c>
      <c r="G608" s="10">
        <v>10070.6</v>
      </c>
      <c r="H608" s="10">
        <v>14801</v>
      </c>
      <c r="I608" s="10">
        <v>0</v>
      </c>
    </row>
    <row r="609" spans="1:9" x14ac:dyDescent="0.2">
      <c r="A609" s="245" t="s">
        <v>1156</v>
      </c>
      <c r="B609" s="126" t="s">
        <v>1892</v>
      </c>
      <c r="C609" s="18">
        <v>13547.44</v>
      </c>
      <c r="D609" s="18">
        <v>14195.98</v>
      </c>
      <c r="E609" s="18">
        <v>13209.67</v>
      </c>
      <c r="F609" s="18">
        <v>16696.09</v>
      </c>
      <c r="G609" s="18">
        <v>17319.14</v>
      </c>
      <c r="H609" s="10">
        <v>23889</v>
      </c>
      <c r="I609" s="10">
        <v>0</v>
      </c>
    </row>
    <row r="610" spans="1:9" x14ac:dyDescent="0.2">
      <c r="A610" s="245" t="s">
        <v>1157</v>
      </c>
      <c r="B610" s="126" t="s">
        <v>1893</v>
      </c>
      <c r="C610" s="18">
        <v>13920</v>
      </c>
      <c r="D610" s="18">
        <v>15530</v>
      </c>
      <c r="E610" s="18">
        <v>15593.08</v>
      </c>
      <c r="F610" s="18">
        <v>15600</v>
      </c>
      <c r="G610" s="18">
        <v>15600</v>
      </c>
      <c r="H610" s="10">
        <v>31513</v>
      </c>
      <c r="I610" s="10">
        <v>0</v>
      </c>
    </row>
    <row r="611" spans="1:9" x14ac:dyDescent="0.2">
      <c r="A611" s="245" t="s">
        <v>1112</v>
      </c>
      <c r="B611" s="126" t="s">
        <v>1894</v>
      </c>
      <c r="C611" s="10">
        <v>0</v>
      </c>
      <c r="D611" s="10">
        <v>0</v>
      </c>
      <c r="E611" s="10">
        <v>0</v>
      </c>
      <c r="F611" s="10">
        <v>0</v>
      </c>
      <c r="G611" s="10">
        <v>0</v>
      </c>
      <c r="H611" s="10">
        <v>0</v>
      </c>
      <c r="I611" s="10">
        <v>0</v>
      </c>
    </row>
    <row r="612" spans="1:9" x14ac:dyDescent="0.2">
      <c r="A612" s="245" t="s">
        <v>1552</v>
      </c>
      <c r="B612" s="126" t="s">
        <v>1991</v>
      </c>
      <c r="C612" s="10">
        <v>794</v>
      </c>
      <c r="D612" s="10">
        <v>281.66000000000003</v>
      </c>
      <c r="E612" s="10">
        <v>701.76</v>
      </c>
      <c r="F612" s="10">
        <v>467.83</v>
      </c>
      <c r="G612" s="10">
        <v>777.59</v>
      </c>
      <c r="H612" s="10">
        <v>1200</v>
      </c>
      <c r="I612" s="10">
        <v>0</v>
      </c>
    </row>
    <row r="613" spans="1:9" x14ac:dyDescent="0.2">
      <c r="A613" s="245" t="s">
        <v>488</v>
      </c>
      <c r="B613" s="126" t="s">
        <v>1895</v>
      </c>
      <c r="C613" s="10">
        <v>2962.9</v>
      </c>
      <c r="D613" s="10">
        <v>2907.34</v>
      </c>
      <c r="E613" s="10">
        <v>2798.96</v>
      </c>
      <c r="F613" s="10">
        <v>3874.4</v>
      </c>
      <c r="G613" s="10">
        <v>6348.37</v>
      </c>
      <c r="H613" s="10">
        <v>10000</v>
      </c>
      <c r="I613" s="10">
        <v>0</v>
      </c>
    </row>
    <row r="614" spans="1:9" x14ac:dyDescent="0.2">
      <c r="A614" s="245" t="s">
        <v>489</v>
      </c>
      <c r="B614" s="126" t="s">
        <v>1896</v>
      </c>
      <c r="C614" s="10">
        <v>0</v>
      </c>
      <c r="D614" s="10">
        <v>0</v>
      </c>
      <c r="E614" s="10">
        <v>0</v>
      </c>
      <c r="F614" s="10">
        <v>0</v>
      </c>
      <c r="G614" s="10">
        <v>0</v>
      </c>
      <c r="H614" s="10">
        <v>850</v>
      </c>
      <c r="I614" s="10">
        <v>0</v>
      </c>
    </row>
    <row r="615" spans="1:9" x14ac:dyDescent="0.2">
      <c r="A615" s="245" t="s">
        <v>491</v>
      </c>
      <c r="B615" s="126" t="s">
        <v>1968</v>
      </c>
      <c r="C615" s="10">
        <v>5208.53</v>
      </c>
      <c r="D615" s="10">
        <v>3959.72</v>
      </c>
      <c r="E615" s="10">
        <v>2714.5</v>
      </c>
      <c r="F615" s="10">
        <v>4274.54</v>
      </c>
      <c r="G615" s="10">
        <v>6698.44</v>
      </c>
      <c r="H615" s="10">
        <v>8000</v>
      </c>
      <c r="I615" s="10">
        <v>0</v>
      </c>
    </row>
    <row r="616" spans="1:9" x14ac:dyDescent="0.2">
      <c r="A616" s="245" t="s">
        <v>490</v>
      </c>
      <c r="B616" s="126" t="s">
        <v>1897</v>
      </c>
      <c r="C616" s="10">
        <v>960</v>
      </c>
      <c r="D616" s="10">
        <v>960</v>
      </c>
      <c r="E616" s="10">
        <v>1551.76</v>
      </c>
      <c r="F616" s="10">
        <v>1485.83</v>
      </c>
      <c r="G616" s="10">
        <v>2015.97</v>
      </c>
      <c r="H616" s="10">
        <v>2880</v>
      </c>
      <c r="I616" s="10">
        <v>0</v>
      </c>
    </row>
    <row r="617" spans="1:9" x14ac:dyDescent="0.2">
      <c r="A617" s="245" t="s">
        <v>493</v>
      </c>
      <c r="B617" s="126" t="s">
        <v>1898</v>
      </c>
      <c r="C617" s="10">
        <v>1329.85</v>
      </c>
      <c r="D617" s="10">
        <v>1449.63</v>
      </c>
      <c r="E617" s="10">
        <v>3370.5</v>
      </c>
      <c r="F617" s="10">
        <v>939.95</v>
      </c>
      <c r="G617" s="10">
        <v>4833.1899999999996</v>
      </c>
      <c r="H617" s="10">
        <v>7500</v>
      </c>
      <c r="I617" s="10">
        <v>0</v>
      </c>
    </row>
    <row r="618" spans="1:9" x14ac:dyDescent="0.2">
      <c r="A618" s="245" t="s">
        <v>492</v>
      </c>
      <c r="B618" s="126" t="s">
        <v>1971</v>
      </c>
      <c r="C618" s="18">
        <v>2483.06</v>
      </c>
      <c r="D618" s="18">
        <v>904.47</v>
      </c>
      <c r="E618" s="18">
        <v>1482.47</v>
      </c>
      <c r="F618" s="18">
        <v>6356.37</v>
      </c>
      <c r="G618" s="18">
        <v>1551.43</v>
      </c>
      <c r="H618" s="10">
        <v>13000</v>
      </c>
      <c r="I618" s="10">
        <v>0</v>
      </c>
    </row>
    <row r="619" spans="1:9" x14ac:dyDescent="0.2">
      <c r="A619" s="245" t="s">
        <v>494</v>
      </c>
      <c r="B619" s="126" t="s">
        <v>1899</v>
      </c>
      <c r="C619" s="18">
        <v>50</v>
      </c>
      <c r="D619" s="18">
        <v>50</v>
      </c>
      <c r="E619" s="18">
        <v>50</v>
      </c>
      <c r="F619" s="18">
        <v>50</v>
      </c>
      <c r="G619" s="18">
        <v>50</v>
      </c>
      <c r="H619" s="10">
        <v>50</v>
      </c>
      <c r="I619" s="10">
        <v>0</v>
      </c>
    </row>
    <row r="620" spans="1:9" x14ac:dyDescent="0.2">
      <c r="A620" s="245" t="s">
        <v>495</v>
      </c>
      <c r="B620" s="126" t="s">
        <v>1900</v>
      </c>
      <c r="C620" s="18">
        <v>0</v>
      </c>
      <c r="D620" s="18">
        <v>2984.68</v>
      </c>
      <c r="E620" s="18">
        <v>3.39</v>
      </c>
      <c r="F620" s="18">
        <v>6393.47</v>
      </c>
      <c r="G620" s="18">
        <v>14902.58</v>
      </c>
      <c r="H620" s="10">
        <v>62000</v>
      </c>
      <c r="I620" s="10">
        <v>0</v>
      </c>
    </row>
    <row r="621" spans="1:9" x14ac:dyDescent="0.2">
      <c r="A621" s="245" t="s">
        <v>496</v>
      </c>
      <c r="B621" s="126" t="s">
        <v>2000</v>
      </c>
      <c r="C621" s="10">
        <v>27552.59</v>
      </c>
      <c r="D621" s="10">
        <v>0</v>
      </c>
      <c r="E621" s="10">
        <v>0</v>
      </c>
      <c r="F621" s="10">
        <v>0</v>
      </c>
      <c r="G621" s="10">
        <v>0</v>
      </c>
      <c r="H621" s="10">
        <v>0</v>
      </c>
      <c r="I621" s="10">
        <v>0</v>
      </c>
    </row>
    <row r="622" spans="1:9" x14ac:dyDescent="0.2">
      <c r="A622" s="245" t="s">
        <v>2302</v>
      </c>
      <c r="B622" s="126" t="s">
        <v>2301</v>
      </c>
      <c r="C622" s="10">
        <v>0</v>
      </c>
      <c r="D622" s="10">
        <v>0</v>
      </c>
      <c r="E622" s="10">
        <v>3496.28</v>
      </c>
      <c r="F622" s="10">
        <v>6292.56</v>
      </c>
      <c r="G622" s="10">
        <v>6327.06</v>
      </c>
      <c r="H622" s="10">
        <v>22958.92</v>
      </c>
      <c r="I622" s="10">
        <v>0</v>
      </c>
    </row>
    <row r="623" spans="1:9" x14ac:dyDescent="0.2">
      <c r="A623" s="245" t="s">
        <v>1207</v>
      </c>
      <c r="B623" s="126" t="s">
        <v>2001</v>
      </c>
      <c r="C623" s="10">
        <v>12000</v>
      </c>
      <c r="D623" s="10">
        <v>-3458.35</v>
      </c>
      <c r="E623" s="10">
        <v>0</v>
      </c>
      <c r="F623" s="10">
        <v>0</v>
      </c>
      <c r="G623" s="10">
        <v>0</v>
      </c>
      <c r="H623" s="10">
        <v>0</v>
      </c>
      <c r="I623" s="10">
        <v>0</v>
      </c>
    </row>
    <row r="624" spans="1:9" x14ac:dyDescent="0.2">
      <c r="A624" s="245" t="s">
        <v>1208</v>
      </c>
      <c r="B624" s="126" t="s">
        <v>2002</v>
      </c>
      <c r="C624" s="10">
        <v>0</v>
      </c>
      <c r="D624" s="10">
        <v>-3625</v>
      </c>
      <c r="E624" s="10">
        <v>0</v>
      </c>
      <c r="F624" s="10">
        <v>0</v>
      </c>
      <c r="G624" s="10">
        <v>0</v>
      </c>
      <c r="H624" s="10">
        <v>0</v>
      </c>
      <c r="I624" s="10">
        <v>0</v>
      </c>
    </row>
    <row r="625" spans="1:9" x14ac:dyDescent="0.2">
      <c r="A625" s="245" t="s">
        <v>1209</v>
      </c>
      <c r="B625" s="126" t="s">
        <v>2003</v>
      </c>
      <c r="C625" s="10">
        <v>0</v>
      </c>
      <c r="D625" s="10">
        <v>-833.33</v>
      </c>
      <c r="E625" s="10">
        <v>0</v>
      </c>
      <c r="F625" s="10">
        <v>0</v>
      </c>
      <c r="G625" s="10">
        <v>0</v>
      </c>
      <c r="H625" s="10">
        <v>0</v>
      </c>
      <c r="I625" s="10">
        <v>0</v>
      </c>
    </row>
    <row r="626" spans="1:9" x14ac:dyDescent="0.2">
      <c r="A626" s="245" t="s">
        <v>1210</v>
      </c>
      <c r="B626" s="126" t="s">
        <v>2004</v>
      </c>
      <c r="C626" s="10">
        <v>0</v>
      </c>
      <c r="D626" s="10">
        <v>-625</v>
      </c>
      <c r="E626" s="10">
        <v>0</v>
      </c>
      <c r="F626" s="10">
        <v>0</v>
      </c>
      <c r="G626" s="10">
        <v>0</v>
      </c>
      <c r="H626" s="10">
        <v>0</v>
      </c>
      <c r="I626" s="10">
        <v>0</v>
      </c>
    </row>
    <row r="627" spans="1:9" x14ac:dyDescent="0.2">
      <c r="A627" s="245" t="s">
        <v>1211</v>
      </c>
      <c r="B627" s="126" t="s">
        <v>2005</v>
      </c>
      <c r="C627" s="10">
        <v>0</v>
      </c>
      <c r="D627" s="10">
        <v>0</v>
      </c>
      <c r="E627" s="10">
        <v>0</v>
      </c>
      <c r="F627" s="10">
        <v>0</v>
      </c>
      <c r="G627" s="10">
        <v>0</v>
      </c>
      <c r="H627" s="10">
        <v>0</v>
      </c>
      <c r="I627" s="10">
        <v>0</v>
      </c>
    </row>
    <row r="628" spans="1:9" x14ac:dyDescent="0.2">
      <c r="A628" s="245" t="s">
        <v>382</v>
      </c>
      <c r="B628" s="126" t="s">
        <v>2006</v>
      </c>
      <c r="C628" s="10">
        <v>900</v>
      </c>
      <c r="D628" s="10">
        <v>500</v>
      </c>
      <c r="E628" s="10">
        <v>8800</v>
      </c>
      <c r="F628" s="10">
        <f>900+8000</f>
        <v>8900</v>
      </c>
      <c r="G628" s="10">
        <f>900+8000</f>
        <v>8900</v>
      </c>
      <c r="H628" s="10">
        <v>8900</v>
      </c>
      <c r="I628" s="10">
        <v>0</v>
      </c>
    </row>
    <row r="629" spans="1:9" x14ac:dyDescent="0.2">
      <c r="A629" s="245" t="s">
        <v>383</v>
      </c>
      <c r="B629" s="126" t="s">
        <v>2007</v>
      </c>
      <c r="C629" s="18">
        <v>0</v>
      </c>
      <c r="D629" s="18">
        <v>0</v>
      </c>
      <c r="E629" s="18">
        <v>0</v>
      </c>
      <c r="F629" s="18">
        <v>0</v>
      </c>
      <c r="G629" s="18">
        <v>0</v>
      </c>
      <c r="H629" s="10">
        <v>0</v>
      </c>
      <c r="I629" s="10">
        <f t="shared" ref="I629:I630" si="107">+H629</f>
        <v>0</v>
      </c>
    </row>
    <row r="630" spans="1:9" x14ac:dyDescent="0.2">
      <c r="A630" s="245" t="s">
        <v>384</v>
      </c>
      <c r="B630" s="126" t="s">
        <v>2008</v>
      </c>
      <c r="C630" s="12">
        <v>0</v>
      </c>
      <c r="D630" s="12">
        <v>0</v>
      </c>
      <c r="E630" s="12">
        <v>0</v>
      </c>
      <c r="F630" s="12">
        <v>0</v>
      </c>
      <c r="G630" s="12">
        <v>0</v>
      </c>
      <c r="H630" s="10">
        <v>0</v>
      </c>
      <c r="I630" s="10">
        <f t="shared" si="107"/>
        <v>0</v>
      </c>
    </row>
    <row r="631" spans="1:9" x14ac:dyDescent="0.2">
      <c r="A631" s="245"/>
      <c r="B631" s="6" t="s">
        <v>1118</v>
      </c>
      <c r="C631" s="38">
        <f t="shared" ref="C631:G631" si="108">SUM(C601:C630)</f>
        <v>205505.21</v>
      </c>
      <c r="D631" s="38">
        <f t="shared" si="108"/>
        <v>163136.37000000002</v>
      </c>
      <c r="E631" s="38">
        <f t="shared" si="108"/>
        <v>174877.75</v>
      </c>
      <c r="F631" s="38">
        <f t="shared" si="108"/>
        <v>215135.59</v>
      </c>
      <c r="G631" s="38">
        <f t="shared" si="108"/>
        <v>234636.67999999996</v>
      </c>
      <c r="H631" s="38">
        <f t="shared" ref="H631:I631" si="109">SUM(H601:H630)</f>
        <v>399574.92</v>
      </c>
      <c r="I631" s="38">
        <f t="shared" si="109"/>
        <v>0</v>
      </c>
    </row>
    <row r="632" spans="1:9" x14ac:dyDescent="0.2">
      <c r="A632" s="245"/>
      <c r="B632" s="234" t="s">
        <v>2631</v>
      </c>
      <c r="C632" s="10"/>
      <c r="E632" s="10"/>
      <c r="G632" s="10"/>
      <c r="H632" s="10"/>
      <c r="I632" s="10"/>
    </row>
    <row r="633" spans="1:9" x14ac:dyDescent="0.2">
      <c r="A633" s="251" t="s">
        <v>385</v>
      </c>
      <c r="B633" s="4" t="s">
        <v>372</v>
      </c>
      <c r="C633" s="112"/>
      <c r="D633" s="112"/>
      <c r="E633" s="112"/>
      <c r="F633" s="112"/>
      <c r="G633" s="112"/>
      <c r="H633" s="112"/>
      <c r="I633" s="112"/>
    </row>
    <row r="634" spans="1:9" x14ac:dyDescent="0.2">
      <c r="A634" s="247" t="s">
        <v>1360</v>
      </c>
      <c r="B634" s="126" t="s">
        <v>1884</v>
      </c>
      <c r="C634" s="10">
        <v>34816.080000000002</v>
      </c>
      <c r="D634" s="10">
        <v>35616.1</v>
      </c>
      <c r="E634" s="10">
        <v>36413.040000000001</v>
      </c>
      <c r="F634" s="10">
        <v>37616.019999999997</v>
      </c>
      <c r="G634" s="10">
        <v>39566.99</v>
      </c>
      <c r="H634" s="10">
        <v>40016</v>
      </c>
      <c r="I634" s="10">
        <v>42017</v>
      </c>
    </row>
    <row r="635" spans="1:9" x14ac:dyDescent="0.2">
      <c r="A635" s="247" t="s">
        <v>1359</v>
      </c>
      <c r="B635" s="126" t="s">
        <v>1889</v>
      </c>
      <c r="C635" s="10">
        <v>0</v>
      </c>
      <c r="D635" s="10">
        <v>0</v>
      </c>
      <c r="E635" s="10">
        <v>0</v>
      </c>
      <c r="F635" s="10">
        <v>173</v>
      </c>
      <c r="G635" s="10">
        <v>246.9</v>
      </c>
      <c r="H635" s="10">
        <v>300</v>
      </c>
      <c r="I635" s="10">
        <v>360</v>
      </c>
    </row>
    <row r="636" spans="1:9" x14ac:dyDescent="0.2">
      <c r="A636" s="245" t="s">
        <v>386</v>
      </c>
      <c r="B636" s="126" t="s">
        <v>1956</v>
      </c>
      <c r="C636" s="10">
        <v>1400.1</v>
      </c>
      <c r="D636" s="10">
        <v>1999.92</v>
      </c>
      <c r="E636" s="10">
        <v>1999.92</v>
      </c>
      <c r="F636" s="10">
        <v>1999.92</v>
      </c>
      <c r="G636" s="10">
        <v>2038.38</v>
      </c>
      <c r="H636" s="10">
        <v>2000</v>
      </c>
      <c r="I636" s="10">
        <f t="shared" ref="I636:I651" si="110">+H636</f>
        <v>2000</v>
      </c>
    </row>
    <row r="637" spans="1:9" x14ac:dyDescent="0.2">
      <c r="A637" s="245" t="s">
        <v>387</v>
      </c>
      <c r="B637" s="126" t="s">
        <v>1891</v>
      </c>
      <c r="C637" s="10">
        <v>2362.34</v>
      </c>
      <c r="D637" s="10">
        <v>2425.4499999999998</v>
      </c>
      <c r="E637" s="10">
        <v>2520.88</v>
      </c>
      <c r="F637" s="10">
        <v>2628.72</v>
      </c>
      <c r="G637" s="10">
        <v>2793.05</v>
      </c>
      <c r="H637" s="10">
        <v>3312</v>
      </c>
      <c r="I637" s="10">
        <v>3470</v>
      </c>
    </row>
    <row r="638" spans="1:9" x14ac:dyDescent="0.2">
      <c r="A638" s="245" t="s">
        <v>388</v>
      </c>
      <c r="B638" s="126" t="s">
        <v>1892</v>
      </c>
      <c r="C638" s="10">
        <v>4241.26</v>
      </c>
      <c r="D638" s="10">
        <v>4462.82</v>
      </c>
      <c r="E638" s="10">
        <v>4728.82</v>
      </c>
      <c r="F638" s="10">
        <v>4950.3999999999996</v>
      </c>
      <c r="G638" s="10">
        <v>5206.38</v>
      </c>
      <c r="H638" s="10">
        <v>5326</v>
      </c>
      <c r="I638" s="10">
        <v>5647</v>
      </c>
    </row>
    <row r="639" spans="1:9" x14ac:dyDescent="0.2">
      <c r="A639" s="245" t="s">
        <v>389</v>
      </c>
      <c r="B639" s="126" t="s">
        <v>1893</v>
      </c>
      <c r="C639" s="18">
        <v>6960</v>
      </c>
      <c r="D639" s="18">
        <v>7765</v>
      </c>
      <c r="E639" s="18">
        <v>7800</v>
      </c>
      <c r="F639" s="18">
        <v>7800</v>
      </c>
      <c r="G639" s="18">
        <v>7800</v>
      </c>
      <c r="H639" s="10">
        <v>7878</v>
      </c>
      <c r="I639" s="10">
        <v>7800</v>
      </c>
    </row>
    <row r="640" spans="1:9" x14ac:dyDescent="0.2">
      <c r="A640" s="245" t="s">
        <v>390</v>
      </c>
      <c r="B640" s="126" t="s">
        <v>1991</v>
      </c>
      <c r="C640" s="10">
        <v>419.92</v>
      </c>
      <c r="D640" s="10">
        <v>479.56</v>
      </c>
      <c r="E640" s="10">
        <v>0</v>
      </c>
      <c r="F640" s="10">
        <v>0</v>
      </c>
      <c r="G640" s="10">
        <v>0</v>
      </c>
      <c r="H640" s="10">
        <v>0</v>
      </c>
      <c r="I640" s="10">
        <f t="shared" si="110"/>
        <v>0</v>
      </c>
    </row>
    <row r="641" spans="1:9" x14ac:dyDescent="0.2">
      <c r="A641" s="248" t="s">
        <v>1817</v>
      </c>
      <c r="B641" s="126" t="s">
        <v>2009</v>
      </c>
      <c r="C641" s="10">
        <v>0</v>
      </c>
      <c r="D641" s="10">
        <v>0</v>
      </c>
      <c r="E641" s="10">
        <v>499.98</v>
      </c>
      <c r="F641" s="10">
        <v>499.98</v>
      </c>
      <c r="G641" s="10">
        <v>509.6</v>
      </c>
      <c r="H641" s="10">
        <v>500</v>
      </c>
      <c r="I641" s="10">
        <v>500</v>
      </c>
    </row>
    <row r="642" spans="1:9" x14ac:dyDescent="0.2">
      <c r="A642" s="245" t="s">
        <v>391</v>
      </c>
      <c r="B642" s="126" t="s">
        <v>1895</v>
      </c>
      <c r="C642" s="10">
        <v>136</v>
      </c>
      <c r="D642" s="10">
        <v>0</v>
      </c>
      <c r="E642" s="10">
        <v>331.25</v>
      </c>
      <c r="F642" s="10">
        <v>723.71</v>
      </c>
      <c r="G642" s="10">
        <v>0</v>
      </c>
      <c r="H642" s="10">
        <v>750</v>
      </c>
      <c r="I642" s="10">
        <v>750</v>
      </c>
    </row>
    <row r="643" spans="1:9" x14ac:dyDescent="0.2">
      <c r="A643" s="245" t="s">
        <v>394</v>
      </c>
      <c r="B643" s="126" t="s">
        <v>1896</v>
      </c>
      <c r="C643" s="10">
        <v>0</v>
      </c>
      <c r="D643" s="10">
        <v>0</v>
      </c>
      <c r="E643" s="10">
        <v>55</v>
      </c>
      <c r="F643" s="10">
        <v>0</v>
      </c>
      <c r="G643" s="10">
        <v>0</v>
      </c>
      <c r="H643" s="10">
        <v>50</v>
      </c>
      <c r="I643" s="10">
        <v>50</v>
      </c>
    </row>
    <row r="644" spans="1:9" x14ac:dyDescent="0.2">
      <c r="A644" s="245" t="s">
        <v>395</v>
      </c>
      <c r="B644" s="126" t="s">
        <v>1968</v>
      </c>
      <c r="C644" s="10">
        <v>1299.51</v>
      </c>
      <c r="D644" s="10">
        <v>219.9</v>
      </c>
      <c r="E644" s="10">
        <v>1325.85</v>
      </c>
      <c r="F644" s="10">
        <v>1551.57</v>
      </c>
      <c r="G644" s="10">
        <v>2612.46</v>
      </c>
      <c r="H644" s="10">
        <v>3000</v>
      </c>
      <c r="I644" s="10">
        <v>3000</v>
      </c>
    </row>
    <row r="645" spans="1:9" x14ac:dyDescent="0.2">
      <c r="A645" s="245" t="s">
        <v>393</v>
      </c>
      <c r="B645" s="126" t="s">
        <v>1897</v>
      </c>
      <c r="C645" s="10">
        <v>480</v>
      </c>
      <c r="D645" s="10">
        <v>480</v>
      </c>
      <c r="E645" s="10">
        <v>480</v>
      </c>
      <c r="F645" s="10">
        <v>480</v>
      </c>
      <c r="G645" s="10">
        <v>480</v>
      </c>
      <c r="H645" s="10">
        <v>480</v>
      </c>
      <c r="I645" s="10">
        <f t="shared" si="110"/>
        <v>480</v>
      </c>
    </row>
    <row r="646" spans="1:9" x14ac:dyDescent="0.2">
      <c r="A646" s="245" t="s">
        <v>396</v>
      </c>
      <c r="B646" s="126" t="s">
        <v>1898</v>
      </c>
      <c r="C646" s="10">
        <v>919.55</v>
      </c>
      <c r="D646" s="10">
        <v>150.41</v>
      </c>
      <c r="E646" s="10">
        <v>578.33000000000004</v>
      </c>
      <c r="F646" s="10">
        <v>100</v>
      </c>
      <c r="G646" s="10">
        <v>160</v>
      </c>
      <c r="H646" s="10">
        <v>750</v>
      </c>
      <c r="I646" s="10">
        <v>1000</v>
      </c>
    </row>
    <row r="647" spans="1:9" x14ac:dyDescent="0.2">
      <c r="A647" s="245" t="s">
        <v>397</v>
      </c>
      <c r="B647" s="126" t="s">
        <v>1974</v>
      </c>
      <c r="C647" s="10">
        <v>0</v>
      </c>
      <c r="D647" s="10">
        <v>0</v>
      </c>
      <c r="E647" s="10">
        <v>0</v>
      </c>
      <c r="F647" s="10">
        <v>90</v>
      </c>
      <c r="G647" s="10">
        <v>0</v>
      </c>
      <c r="H647" s="10">
        <v>200</v>
      </c>
      <c r="I647" s="10">
        <v>500</v>
      </c>
    </row>
    <row r="648" spans="1:9" x14ac:dyDescent="0.2">
      <c r="A648" s="245" t="s">
        <v>398</v>
      </c>
      <c r="B648" s="126" t="s">
        <v>1971</v>
      </c>
      <c r="C648" s="10">
        <v>340.5</v>
      </c>
      <c r="D648" s="10">
        <v>190.22</v>
      </c>
      <c r="E648" s="10">
        <v>450.12</v>
      </c>
      <c r="F648" s="10">
        <v>947.34</v>
      </c>
      <c r="G648" s="10">
        <v>967.75</v>
      </c>
      <c r="H648" s="10">
        <v>1500</v>
      </c>
      <c r="I648" s="10">
        <v>2000</v>
      </c>
    </row>
    <row r="649" spans="1:9" x14ac:dyDescent="0.2">
      <c r="A649" s="245" t="s">
        <v>399</v>
      </c>
      <c r="B649" s="126" t="s">
        <v>1899</v>
      </c>
      <c r="C649" s="10">
        <v>0</v>
      </c>
      <c r="D649" s="10">
        <v>0</v>
      </c>
      <c r="E649" s="10">
        <v>0</v>
      </c>
      <c r="F649" s="10">
        <v>178</v>
      </c>
      <c r="G649" s="10">
        <v>0</v>
      </c>
      <c r="H649" s="10">
        <v>0</v>
      </c>
      <c r="I649" s="10">
        <f t="shared" si="110"/>
        <v>0</v>
      </c>
    </row>
    <row r="650" spans="1:9" x14ac:dyDescent="0.2">
      <c r="A650" s="245" t="s">
        <v>400</v>
      </c>
      <c r="B650" s="126" t="s">
        <v>1900</v>
      </c>
      <c r="C650" s="18">
        <v>0</v>
      </c>
      <c r="D650" s="18">
        <v>0</v>
      </c>
      <c r="E650" s="18">
        <v>378</v>
      </c>
      <c r="F650" s="18">
        <v>7163.48</v>
      </c>
      <c r="G650" s="18">
        <v>943</v>
      </c>
      <c r="H650" s="10">
        <v>1500</v>
      </c>
      <c r="I650" s="10">
        <v>3000</v>
      </c>
    </row>
    <row r="651" spans="1:9" x14ac:dyDescent="0.2">
      <c r="A651" s="248" t="s">
        <v>1800</v>
      </c>
      <c r="B651" s="126" t="s">
        <v>2000</v>
      </c>
      <c r="C651" s="18">
        <v>26963.57</v>
      </c>
      <c r="D651" s="18">
        <v>0</v>
      </c>
      <c r="E651" s="18">
        <v>0</v>
      </c>
      <c r="F651" s="18">
        <v>0</v>
      </c>
      <c r="G651" s="18">
        <v>0</v>
      </c>
      <c r="H651" s="10">
        <v>0</v>
      </c>
      <c r="I651" s="10">
        <f t="shared" si="110"/>
        <v>0</v>
      </c>
    </row>
    <row r="652" spans="1:9" x14ac:dyDescent="0.2">
      <c r="A652" s="245"/>
      <c r="B652" s="6" t="s">
        <v>1118</v>
      </c>
      <c r="C652" s="38">
        <f t="shared" ref="C652:G652" si="111">SUM(C634:C651)</f>
        <v>80338.830000000016</v>
      </c>
      <c r="D652" s="38">
        <f t="shared" si="111"/>
        <v>53789.38</v>
      </c>
      <c r="E652" s="38">
        <f t="shared" si="111"/>
        <v>57561.19</v>
      </c>
      <c r="F652" s="38">
        <f t="shared" si="111"/>
        <v>66902.14</v>
      </c>
      <c r="G652" s="38">
        <f t="shared" si="111"/>
        <v>63324.509999999995</v>
      </c>
      <c r="H652" s="38">
        <f t="shared" ref="H652:I652" si="112">SUM(H634:H651)</f>
        <v>67562</v>
      </c>
      <c r="I652" s="38">
        <f t="shared" si="112"/>
        <v>72574</v>
      </c>
    </row>
    <row r="653" spans="1:9" x14ac:dyDescent="0.2">
      <c r="A653" s="245"/>
      <c r="B653" s="6"/>
      <c r="C653" s="10"/>
      <c r="E653" s="10"/>
      <c r="G653" s="115"/>
      <c r="H653" s="10"/>
      <c r="I653" s="10"/>
    </row>
    <row r="654" spans="1:9" x14ac:dyDescent="0.2">
      <c r="A654" s="245"/>
      <c r="B654" s="4" t="s">
        <v>653</v>
      </c>
      <c r="C654" s="112" t="s">
        <v>1433</v>
      </c>
      <c r="D654" s="112" t="s">
        <v>1433</v>
      </c>
      <c r="E654" s="112" t="s">
        <v>1433</v>
      </c>
      <c r="F654" s="112" t="s">
        <v>1433</v>
      </c>
      <c r="G654" s="222" t="s">
        <v>1433</v>
      </c>
      <c r="H654" s="112" t="s">
        <v>1433</v>
      </c>
      <c r="I654" s="112" t="s">
        <v>1433</v>
      </c>
    </row>
    <row r="655" spans="1:9" x14ac:dyDescent="0.2">
      <c r="A655" s="245"/>
      <c r="B655" s="4" t="s">
        <v>980</v>
      </c>
      <c r="C655" s="112" t="s">
        <v>1433</v>
      </c>
      <c r="D655" s="112" t="s">
        <v>1433</v>
      </c>
      <c r="E655" s="112" t="s">
        <v>1433</v>
      </c>
      <c r="F655" s="112" t="s">
        <v>1433</v>
      </c>
      <c r="G655" s="222" t="s">
        <v>1433</v>
      </c>
      <c r="H655" s="112" t="s">
        <v>1433</v>
      </c>
      <c r="I655" s="112" t="s">
        <v>1433</v>
      </c>
    </row>
    <row r="656" spans="1:9" x14ac:dyDescent="0.2">
      <c r="A656" s="245"/>
      <c r="B656" s="4" t="s">
        <v>138</v>
      </c>
      <c r="C656" s="112" t="s">
        <v>1433</v>
      </c>
      <c r="D656" s="112" t="s">
        <v>1433</v>
      </c>
      <c r="E656" s="112" t="s">
        <v>1433</v>
      </c>
      <c r="F656" s="112" t="s">
        <v>1433</v>
      </c>
      <c r="G656" s="222" t="s">
        <v>1433</v>
      </c>
      <c r="H656" s="112" t="s">
        <v>1433</v>
      </c>
      <c r="I656" s="112" t="s">
        <v>1433</v>
      </c>
    </row>
    <row r="657" spans="1:9" x14ac:dyDescent="0.2">
      <c r="A657" s="245"/>
      <c r="C657" s="129" t="str">
        <f>+$C$4</f>
        <v>2018 ACTUAL</v>
      </c>
      <c r="D657" s="129" t="str">
        <f t="shared" ref="D657:I657" si="113">+D$4</f>
        <v>2019 ACTUAL</v>
      </c>
      <c r="E657" s="129" t="str">
        <f t="shared" si="113"/>
        <v>2020 ACTUAL</v>
      </c>
      <c r="F657" s="129" t="str">
        <f t="shared" si="113"/>
        <v>2021 ACTUAL</v>
      </c>
      <c r="G657" s="223" t="str">
        <f t="shared" si="113"/>
        <v>2022 ACTUAL</v>
      </c>
      <c r="H657" s="129" t="str">
        <f t="shared" si="113"/>
        <v xml:space="preserve">2023 BUDGET </v>
      </c>
      <c r="I657" s="129" t="str">
        <f t="shared" si="113"/>
        <v xml:space="preserve">2024 BUDGET </v>
      </c>
    </row>
    <row r="658" spans="1:9" x14ac:dyDescent="0.2">
      <c r="A658" s="251" t="s">
        <v>401</v>
      </c>
      <c r="B658" s="4" t="s">
        <v>618</v>
      </c>
      <c r="C658" s="10"/>
      <c r="E658" s="10"/>
      <c r="G658" s="115"/>
      <c r="H658" s="10"/>
      <c r="I658" s="10"/>
    </row>
    <row r="659" spans="1:9" x14ac:dyDescent="0.2">
      <c r="A659" s="245" t="s">
        <v>402</v>
      </c>
      <c r="B659" s="126" t="s">
        <v>1884</v>
      </c>
      <c r="C659" s="17">
        <v>34816.080000000002</v>
      </c>
      <c r="D659" s="17">
        <v>35616.1</v>
      </c>
      <c r="E659" s="17">
        <v>36413.040000000001</v>
      </c>
      <c r="F659" s="17">
        <v>37616.019999999997</v>
      </c>
      <c r="G659" s="17">
        <v>39567</v>
      </c>
      <c r="H659" s="10">
        <v>40016</v>
      </c>
      <c r="I659" s="10">
        <v>42017</v>
      </c>
    </row>
    <row r="660" spans="1:9" x14ac:dyDescent="0.2">
      <c r="A660" s="245" t="s">
        <v>586</v>
      </c>
      <c r="B660" s="126" t="s">
        <v>1889</v>
      </c>
      <c r="C660" s="10">
        <v>717.63</v>
      </c>
      <c r="D660" s="10">
        <v>1008.44</v>
      </c>
      <c r="E660" s="10">
        <v>1077.73</v>
      </c>
      <c r="F660" s="10">
        <v>1137.79</v>
      </c>
      <c r="G660" s="10">
        <v>1243.75</v>
      </c>
      <c r="H660" s="10">
        <v>1260</v>
      </c>
      <c r="I660" s="10">
        <v>1320</v>
      </c>
    </row>
    <row r="661" spans="1:9" x14ac:dyDescent="0.2">
      <c r="A661" s="245" t="s">
        <v>587</v>
      </c>
      <c r="B661" s="126" t="s">
        <v>1891</v>
      </c>
      <c r="C661" s="10">
        <v>2667.21</v>
      </c>
      <c r="D661" s="10">
        <v>2750.94</v>
      </c>
      <c r="E661" s="10">
        <v>2858.53</v>
      </c>
      <c r="F661" s="10">
        <v>2956.2</v>
      </c>
      <c r="G661" s="10">
        <v>3112.56</v>
      </c>
      <c r="H661" s="10">
        <v>3233</v>
      </c>
      <c r="I661" s="10">
        <v>3390</v>
      </c>
    </row>
    <row r="662" spans="1:9" x14ac:dyDescent="0.2">
      <c r="A662" s="245" t="s">
        <v>588</v>
      </c>
      <c r="B662" s="126" t="s">
        <v>1892</v>
      </c>
      <c r="C662" s="10">
        <v>4161.6400000000003</v>
      </c>
      <c r="D662" s="10">
        <v>4346.46</v>
      </c>
      <c r="E662" s="10">
        <v>4615.8100000000004</v>
      </c>
      <c r="F662" s="10">
        <v>4821.18</v>
      </c>
      <c r="G662" s="10">
        <v>5074.41</v>
      </c>
      <c r="H662" s="10">
        <v>5197</v>
      </c>
      <c r="I662" s="10">
        <v>5517</v>
      </c>
    </row>
    <row r="663" spans="1:9" x14ac:dyDescent="0.2">
      <c r="A663" s="245" t="s">
        <v>589</v>
      </c>
      <c r="B663" s="126" t="s">
        <v>1893</v>
      </c>
      <c r="C663" s="10">
        <v>6960</v>
      </c>
      <c r="D663" s="10">
        <v>7765</v>
      </c>
      <c r="E663" s="10">
        <v>7800</v>
      </c>
      <c r="F663" s="10">
        <v>7800</v>
      </c>
      <c r="G663" s="10">
        <v>7800</v>
      </c>
      <c r="H663" s="10">
        <v>7878</v>
      </c>
      <c r="I663" s="10">
        <v>7800</v>
      </c>
    </row>
    <row r="664" spans="1:9" x14ac:dyDescent="0.2">
      <c r="A664" s="245" t="s">
        <v>590</v>
      </c>
      <c r="B664" s="126" t="s">
        <v>1991</v>
      </c>
      <c r="C664" s="10">
        <v>269.75</v>
      </c>
      <c r="D664" s="10">
        <v>392.91</v>
      </c>
      <c r="E664" s="10">
        <v>0</v>
      </c>
      <c r="F664" s="10">
        <v>0</v>
      </c>
      <c r="G664" s="10">
        <v>0</v>
      </c>
      <c r="H664" s="10">
        <v>0</v>
      </c>
      <c r="I664" s="10">
        <f t="shared" ref="I664:I675" si="114">+H664</f>
        <v>0</v>
      </c>
    </row>
    <row r="665" spans="1:9" x14ac:dyDescent="0.2">
      <c r="A665" s="248" t="s">
        <v>1818</v>
      </c>
      <c r="B665" s="126" t="s">
        <v>2009</v>
      </c>
      <c r="C665" s="10">
        <v>0</v>
      </c>
      <c r="D665" s="10">
        <v>0</v>
      </c>
      <c r="E665" s="10">
        <v>723</v>
      </c>
      <c r="F665" s="10">
        <v>499.98</v>
      </c>
      <c r="G665" s="10">
        <v>509.6</v>
      </c>
      <c r="H665" s="10">
        <v>500</v>
      </c>
      <c r="I665" s="10">
        <f t="shared" si="114"/>
        <v>500</v>
      </c>
    </row>
    <row r="666" spans="1:9" x14ac:dyDescent="0.2">
      <c r="A666" s="245" t="s">
        <v>591</v>
      </c>
      <c r="B666" s="126" t="s">
        <v>1895</v>
      </c>
      <c r="C666" s="10">
        <v>17.760000000000002</v>
      </c>
      <c r="D666" s="10">
        <v>477.37</v>
      </c>
      <c r="E666" s="10">
        <v>499.98</v>
      </c>
      <c r="F666" s="10">
        <v>103.96</v>
      </c>
      <c r="G666" s="10">
        <v>711.09</v>
      </c>
      <c r="H666" s="10">
        <v>500</v>
      </c>
      <c r="I666" s="10">
        <v>600</v>
      </c>
    </row>
    <row r="667" spans="1:9" x14ac:dyDescent="0.2">
      <c r="A667" s="245" t="s">
        <v>592</v>
      </c>
      <c r="B667" s="126" t="s">
        <v>1896</v>
      </c>
      <c r="C667" s="10">
        <v>0</v>
      </c>
      <c r="D667" s="10">
        <v>0</v>
      </c>
      <c r="E667" s="10">
        <v>0</v>
      </c>
      <c r="F667" s="10">
        <v>0</v>
      </c>
      <c r="G667" s="10">
        <v>0</v>
      </c>
      <c r="H667" s="10">
        <v>50</v>
      </c>
      <c r="I667" s="10">
        <f t="shared" si="114"/>
        <v>50</v>
      </c>
    </row>
    <row r="668" spans="1:9" x14ac:dyDescent="0.2">
      <c r="A668" s="245" t="s">
        <v>1303</v>
      </c>
      <c r="B668" s="126" t="s">
        <v>1968</v>
      </c>
      <c r="C668" s="10">
        <v>815.59</v>
      </c>
      <c r="D668" s="10">
        <v>563.85</v>
      </c>
      <c r="E668" s="10">
        <v>1345.81</v>
      </c>
      <c r="F668" s="10">
        <v>2247.0300000000002</v>
      </c>
      <c r="G668" s="10">
        <v>2403.9699999999998</v>
      </c>
      <c r="H668" s="10">
        <v>3000</v>
      </c>
      <c r="I668" s="10">
        <v>3000</v>
      </c>
    </row>
    <row r="669" spans="1:9" x14ac:dyDescent="0.2">
      <c r="A669" s="245" t="s">
        <v>1302</v>
      </c>
      <c r="B669" s="126" t="s">
        <v>1897</v>
      </c>
      <c r="C669" s="10">
        <v>480</v>
      </c>
      <c r="D669" s="10">
        <v>480</v>
      </c>
      <c r="E669" s="10">
        <v>480</v>
      </c>
      <c r="F669" s="10">
        <v>480</v>
      </c>
      <c r="G669" s="10">
        <v>480</v>
      </c>
      <c r="H669" s="10">
        <v>480</v>
      </c>
      <c r="I669" s="10">
        <f t="shared" si="114"/>
        <v>480</v>
      </c>
    </row>
    <row r="670" spans="1:9" x14ac:dyDescent="0.2">
      <c r="A670" s="245" t="s">
        <v>1304</v>
      </c>
      <c r="B670" s="126" t="s">
        <v>1898</v>
      </c>
      <c r="C670" s="18">
        <v>60</v>
      </c>
      <c r="D670" s="18">
        <v>60</v>
      </c>
      <c r="E670" s="18">
        <v>60</v>
      </c>
      <c r="F670" s="18">
        <v>185</v>
      </c>
      <c r="G670" s="18">
        <v>60</v>
      </c>
      <c r="H670" s="10">
        <v>750</v>
      </c>
      <c r="I670" s="10">
        <v>500</v>
      </c>
    </row>
    <row r="671" spans="1:9" x14ac:dyDescent="0.2">
      <c r="A671" s="245" t="s">
        <v>1673</v>
      </c>
      <c r="B671" s="126" t="s">
        <v>1974</v>
      </c>
      <c r="C671" s="18">
        <v>18.28</v>
      </c>
      <c r="D671" s="18">
        <v>73.3</v>
      </c>
      <c r="E671" s="18">
        <v>0</v>
      </c>
      <c r="F671" s="18">
        <v>0</v>
      </c>
      <c r="G671" s="18">
        <v>0</v>
      </c>
      <c r="H671" s="10">
        <v>200</v>
      </c>
      <c r="I671" s="10">
        <f t="shared" si="114"/>
        <v>200</v>
      </c>
    </row>
    <row r="672" spans="1:9" x14ac:dyDescent="0.2">
      <c r="A672" s="245" t="s">
        <v>1305</v>
      </c>
      <c r="B672" s="126" t="s">
        <v>1971</v>
      </c>
      <c r="C672" s="10">
        <v>164.45</v>
      </c>
      <c r="D672" s="10">
        <v>1837.42</v>
      </c>
      <c r="E672" s="10">
        <v>2066.1999999999998</v>
      </c>
      <c r="F672" s="10">
        <v>1367.3</v>
      </c>
      <c r="G672" s="10">
        <v>259.37</v>
      </c>
      <c r="H672" s="10">
        <v>1500</v>
      </c>
      <c r="I672" s="10">
        <v>750</v>
      </c>
    </row>
    <row r="673" spans="1:9" x14ac:dyDescent="0.2">
      <c r="A673" s="245" t="s">
        <v>1306</v>
      </c>
      <c r="B673" s="126" t="s">
        <v>1899</v>
      </c>
      <c r="C673" s="18">
        <v>0</v>
      </c>
      <c r="D673" s="18">
        <v>0</v>
      </c>
      <c r="E673" s="18">
        <v>0</v>
      </c>
      <c r="F673" s="18">
        <v>178</v>
      </c>
      <c r="G673" s="18">
        <v>962.18</v>
      </c>
      <c r="H673" s="10">
        <v>0</v>
      </c>
      <c r="I673" s="10">
        <f t="shared" si="114"/>
        <v>0</v>
      </c>
    </row>
    <row r="674" spans="1:9" x14ac:dyDescent="0.2">
      <c r="A674" s="245" t="s">
        <v>1307</v>
      </c>
      <c r="B674" s="126" t="s">
        <v>1900</v>
      </c>
      <c r="C674" s="10">
        <v>0</v>
      </c>
      <c r="D674" s="10">
        <v>0</v>
      </c>
      <c r="E674" s="10">
        <v>1014.13</v>
      </c>
      <c r="F674" s="10">
        <v>90.99</v>
      </c>
      <c r="G674" s="10">
        <v>0</v>
      </c>
      <c r="H674" s="10">
        <v>1500</v>
      </c>
      <c r="I674" s="10">
        <v>1000</v>
      </c>
    </row>
    <row r="675" spans="1:9" x14ac:dyDescent="0.2">
      <c r="A675" s="245" t="s">
        <v>1308</v>
      </c>
      <c r="B675" s="126" t="s">
        <v>2000</v>
      </c>
      <c r="C675" s="10">
        <v>0</v>
      </c>
      <c r="D675" s="10">
        <v>0</v>
      </c>
      <c r="E675" s="10">
        <v>0</v>
      </c>
      <c r="F675" s="10">
        <v>0</v>
      </c>
      <c r="G675" s="10">
        <v>0</v>
      </c>
      <c r="H675" s="10">
        <v>0</v>
      </c>
      <c r="I675" s="10">
        <f t="shared" si="114"/>
        <v>0</v>
      </c>
    </row>
    <row r="676" spans="1:9" x14ac:dyDescent="0.2">
      <c r="A676" s="248" t="s">
        <v>2402</v>
      </c>
      <c r="B676" s="126" t="s">
        <v>2403</v>
      </c>
      <c r="C676" s="10">
        <v>0</v>
      </c>
      <c r="D676" s="10">
        <v>0</v>
      </c>
      <c r="E676" s="10">
        <v>0</v>
      </c>
      <c r="F676" s="10">
        <v>0</v>
      </c>
      <c r="G676" s="10">
        <v>0</v>
      </c>
      <c r="H676" s="10">
        <v>22179.16</v>
      </c>
      <c r="I676" s="10">
        <f>1145.16*12+5193.24</f>
        <v>18935.160000000003</v>
      </c>
    </row>
    <row r="677" spans="1:9" x14ac:dyDescent="0.2">
      <c r="A677" s="245"/>
      <c r="B677" s="6" t="s">
        <v>1118</v>
      </c>
      <c r="C677" s="38">
        <f t="shared" ref="C677:G677" si="115">SUM(C659:C676)</f>
        <v>51148.389999999992</v>
      </c>
      <c r="D677" s="38">
        <f t="shared" si="115"/>
        <v>55371.790000000008</v>
      </c>
      <c r="E677" s="38">
        <f t="shared" si="115"/>
        <v>58954.229999999996</v>
      </c>
      <c r="F677" s="38">
        <f t="shared" si="115"/>
        <v>59483.45</v>
      </c>
      <c r="G677" s="38">
        <f t="shared" si="115"/>
        <v>62183.93</v>
      </c>
      <c r="H677" s="38">
        <f t="shared" ref="H677:I677" si="116">SUM(H659:H676)</f>
        <v>88243.16</v>
      </c>
      <c r="I677" s="38">
        <f t="shared" si="116"/>
        <v>86059.16</v>
      </c>
    </row>
    <row r="678" spans="1:9" x14ac:dyDescent="0.2">
      <c r="A678" s="251" t="s">
        <v>1309</v>
      </c>
      <c r="B678" s="4" t="s">
        <v>619</v>
      </c>
      <c r="C678" s="10"/>
      <c r="E678" s="10"/>
      <c r="G678" s="10"/>
      <c r="H678" s="10"/>
      <c r="I678" s="10"/>
    </row>
    <row r="679" spans="1:9" x14ac:dyDescent="0.2">
      <c r="A679" s="245" t="s">
        <v>1310</v>
      </c>
      <c r="B679" s="126" t="s">
        <v>1884</v>
      </c>
      <c r="C679" s="17">
        <v>34816.080000000002</v>
      </c>
      <c r="D679" s="17">
        <v>35616.1</v>
      </c>
      <c r="E679" s="17">
        <v>36413.040000000001</v>
      </c>
      <c r="F679" s="17">
        <v>37616.019999999997</v>
      </c>
      <c r="G679" s="17">
        <v>39567</v>
      </c>
      <c r="H679" s="10">
        <v>40016</v>
      </c>
      <c r="I679" s="10">
        <v>42017</v>
      </c>
    </row>
    <row r="680" spans="1:9" x14ac:dyDescent="0.2">
      <c r="A680" s="245" t="s">
        <v>1311</v>
      </c>
      <c r="B680" s="126" t="s">
        <v>1889</v>
      </c>
      <c r="C680" s="17">
        <v>0</v>
      </c>
      <c r="D680" s="17">
        <v>0</v>
      </c>
      <c r="E680" s="17">
        <v>0</v>
      </c>
      <c r="F680" s="17">
        <v>173</v>
      </c>
      <c r="G680" s="17">
        <v>246.9</v>
      </c>
      <c r="H680" s="10">
        <v>300</v>
      </c>
      <c r="I680" s="10">
        <v>360</v>
      </c>
    </row>
    <row r="681" spans="1:9" x14ac:dyDescent="0.2">
      <c r="A681" s="245" t="s">
        <v>1312</v>
      </c>
      <c r="B681" s="126" t="s">
        <v>1956</v>
      </c>
      <c r="C681" s="10">
        <v>1999.92</v>
      </c>
      <c r="D681" s="10">
        <v>1999.92</v>
      </c>
      <c r="E681" s="10">
        <v>1999.92</v>
      </c>
      <c r="F681" s="10">
        <v>1999.92</v>
      </c>
      <c r="G681" s="10">
        <v>2038.38</v>
      </c>
      <c r="H681" s="10">
        <v>2000</v>
      </c>
      <c r="I681" s="10">
        <f t="shared" ref="I681:I696" si="117">+H681</f>
        <v>2000</v>
      </c>
    </row>
    <row r="682" spans="1:9" x14ac:dyDescent="0.2">
      <c r="A682" s="245" t="s">
        <v>1313</v>
      </c>
      <c r="B682" s="126" t="s">
        <v>1891</v>
      </c>
      <c r="C682" s="10">
        <v>2790.64</v>
      </c>
      <c r="D682" s="10">
        <v>2851.76</v>
      </c>
      <c r="E682" s="10">
        <v>2952.41</v>
      </c>
      <c r="F682" s="10">
        <v>3058.56</v>
      </c>
      <c r="G682" s="10">
        <v>3218.09</v>
      </c>
      <c r="H682" s="10">
        <v>3312</v>
      </c>
      <c r="I682" s="10">
        <v>3470</v>
      </c>
    </row>
    <row r="683" spans="1:9" x14ac:dyDescent="0.2">
      <c r="A683" s="245" t="s">
        <v>1314</v>
      </c>
      <c r="B683" s="126" t="s">
        <v>1892</v>
      </c>
      <c r="C683" s="10">
        <v>4311.5</v>
      </c>
      <c r="D683" s="10">
        <v>4462.82</v>
      </c>
      <c r="E683" s="10">
        <v>4728.82</v>
      </c>
      <c r="F683" s="10">
        <v>4950.3999999999996</v>
      </c>
      <c r="G683" s="10">
        <v>5206.38</v>
      </c>
      <c r="H683" s="10">
        <v>5326</v>
      </c>
      <c r="I683" s="10">
        <v>5647</v>
      </c>
    </row>
    <row r="684" spans="1:9" x14ac:dyDescent="0.2">
      <c r="A684" s="245" t="s">
        <v>1315</v>
      </c>
      <c r="B684" s="126" t="s">
        <v>1893</v>
      </c>
      <c r="C684" s="10">
        <v>6960</v>
      </c>
      <c r="D684" s="10">
        <v>7765</v>
      </c>
      <c r="E684" s="10">
        <v>7800</v>
      </c>
      <c r="F684" s="10">
        <v>7800</v>
      </c>
      <c r="G684" s="10">
        <v>7800</v>
      </c>
      <c r="H684" s="10">
        <v>7878</v>
      </c>
      <c r="I684" s="10">
        <v>7800</v>
      </c>
    </row>
    <row r="685" spans="1:9" x14ac:dyDescent="0.2">
      <c r="A685" s="245" t="s">
        <v>1316</v>
      </c>
      <c r="B685" s="126" t="s">
        <v>1991</v>
      </c>
      <c r="C685" s="10">
        <v>310.95</v>
      </c>
      <c r="D685" s="10">
        <v>474.75</v>
      </c>
      <c r="E685" s="10">
        <v>0</v>
      </c>
      <c r="F685" s="10">
        <v>0</v>
      </c>
      <c r="G685" s="10">
        <v>0</v>
      </c>
      <c r="H685" s="10">
        <v>0</v>
      </c>
      <c r="I685" s="10">
        <f t="shared" si="117"/>
        <v>0</v>
      </c>
    </row>
    <row r="686" spans="1:9" x14ac:dyDescent="0.2">
      <c r="A686" s="248" t="s">
        <v>1819</v>
      </c>
      <c r="B686" s="126" t="s">
        <v>2009</v>
      </c>
      <c r="C686" s="10">
        <v>0</v>
      </c>
      <c r="D686" s="10">
        <v>0</v>
      </c>
      <c r="E686" s="10">
        <v>499.98</v>
      </c>
      <c r="F686" s="10">
        <v>499.98</v>
      </c>
      <c r="G686" s="10">
        <v>509.6</v>
      </c>
      <c r="H686" s="10">
        <v>500</v>
      </c>
      <c r="I686" s="10">
        <v>500</v>
      </c>
    </row>
    <row r="687" spans="1:9" x14ac:dyDescent="0.2">
      <c r="A687" s="245" t="s">
        <v>1317</v>
      </c>
      <c r="B687" s="126" t="s">
        <v>1895</v>
      </c>
      <c r="C687" s="10">
        <v>196.13</v>
      </c>
      <c r="D687" s="10">
        <v>433.54</v>
      </c>
      <c r="E687" s="10">
        <v>209.12</v>
      </c>
      <c r="F687" s="10">
        <v>396.58</v>
      </c>
      <c r="G687" s="10">
        <v>481.93</v>
      </c>
      <c r="H687" s="10">
        <v>400</v>
      </c>
      <c r="I687" s="10">
        <v>400</v>
      </c>
    </row>
    <row r="688" spans="1:9" x14ac:dyDescent="0.2">
      <c r="A688" s="245" t="s">
        <v>797</v>
      </c>
      <c r="B688" s="126" t="s">
        <v>1896</v>
      </c>
      <c r="C688" s="10">
        <v>0</v>
      </c>
      <c r="D688" s="10">
        <v>0</v>
      </c>
      <c r="E688" s="10">
        <v>0</v>
      </c>
      <c r="F688" s="10">
        <v>0</v>
      </c>
      <c r="G688" s="10">
        <v>0</v>
      </c>
      <c r="H688" s="10">
        <v>50</v>
      </c>
      <c r="I688" s="10">
        <f t="shared" si="117"/>
        <v>50</v>
      </c>
    </row>
    <row r="689" spans="1:9" x14ac:dyDescent="0.2">
      <c r="A689" s="245" t="s">
        <v>1319</v>
      </c>
      <c r="B689" s="126" t="s">
        <v>1968</v>
      </c>
      <c r="C689" s="10">
        <v>2253.08</v>
      </c>
      <c r="D689" s="10">
        <v>2168.04</v>
      </c>
      <c r="E689" s="10">
        <v>1846.68</v>
      </c>
      <c r="F689" s="10">
        <v>1367.43</v>
      </c>
      <c r="G689" s="10">
        <v>2341.38</v>
      </c>
      <c r="H689" s="10">
        <v>3000</v>
      </c>
      <c r="I689" s="10">
        <v>3000</v>
      </c>
    </row>
    <row r="690" spans="1:9" x14ac:dyDescent="0.2">
      <c r="A690" s="245" t="s">
        <v>1318</v>
      </c>
      <c r="B690" s="126" t="s">
        <v>1897</v>
      </c>
      <c r="C690" s="10">
        <v>480</v>
      </c>
      <c r="D690" s="10">
        <v>480</v>
      </c>
      <c r="E690" s="10">
        <v>480</v>
      </c>
      <c r="F690" s="10">
        <v>480</v>
      </c>
      <c r="G690" s="10">
        <v>480</v>
      </c>
      <c r="H690" s="10">
        <v>480</v>
      </c>
      <c r="I690" s="10">
        <f t="shared" si="117"/>
        <v>480</v>
      </c>
    </row>
    <row r="691" spans="1:9" x14ac:dyDescent="0.2">
      <c r="A691" s="245" t="s">
        <v>1320</v>
      </c>
      <c r="B691" s="126" t="s">
        <v>1898</v>
      </c>
      <c r="C691" s="10">
        <v>572.83000000000004</v>
      </c>
      <c r="D691" s="10">
        <v>625.58000000000004</v>
      </c>
      <c r="E691" s="10">
        <v>603.33000000000004</v>
      </c>
      <c r="F691" s="10">
        <v>1233.1300000000001</v>
      </c>
      <c r="G691" s="10">
        <v>618.52</v>
      </c>
      <c r="H691" s="10">
        <v>1700</v>
      </c>
      <c r="I691" s="10">
        <v>1700</v>
      </c>
    </row>
    <row r="692" spans="1:9" x14ac:dyDescent="0.2">
      <c r="A692" s="245" t="s">
        <v>1674</v>
      </c>
      <c r="B692" s="126" t="s">
        <v>1974</v>
      </c>
      <c r="C692" s="10">
        <v>0</v>
      </c>
      <c r="D692" s="10">
        <v>68.7</v>
      </c>
      <c r="E692" s="10">
        <v>1833.98</v>
      </c>
      <c r="F692" s="10">
        <v>1701.55</v>
      </c>
      <c r="G692" s="10">
        <v>655.88</v>
      </c>
      <c r="H692" s="10">
        <v>800</v>
      </c>
      <c r="I692" s="10">
        <f t="shared" si="117"/>
        <v>800</v>
      </c>
    </row>
    <row r="693" spans="1:9" x14ac:dyDescent="0.2">
      <c r="A693" s="245" t="s">
        <v>1321</v>
      </c>
      <c r="B693" s="126" t="s">
        <v>1971</v>
      </c>
      <c r="C693" s="10">
        <v>74.260000000000005</v>
      </c>
      <c r="D693" s="10">
        <v>74.23</v>
      </c>
      <c r="E693" s="10">
        <v>882.42</v>
      </c>
      <c r="F693" s="10">
        <v>382.78</v>
      </c>
      <c r="G693" s="10">
        <v>175.53</v>
      </c>
      <c r="H693" s="10">
        <v>600</v>
      </c>
      <c r="I693" s="10">
        <f t="shared" si="117"/>
        <v>600</v>
      </c>
    </row>
    <row r="694" spans="1:9" x14ac:dyDescent="0.2">
      <c r="A694" s="245" t="s">
        <v>1322</v>
      </c>
      <c r="B694" s="126" t="s">
        <v>1899</v>
      </c>
      <c r="C694" s="10">
        <v>0</v>
      </c>
      <c r="D694" s="10">
        <v>0</v>
      </c>
      <c r="E694" s="10">
        <v>0</v>
      </c>
      <c r="F694" s="10">
        <v>178</v>
      </c>
      <c r="G694" s="10">
        <v>0</v>
      </c>
      <c r="H694" s="10">
        <v>0</v>
      </c>
      <c r="I694" s="10">
        <f t="shared" si="117"/>
        <v>0</v>
      </c>
    </row>
    <row r="695" spans="1:9" x14ac:dyDescent="0.2">
      <c r="A695" s="245" t="s">
        <v>1323</v>
      </c>
      <c r="B695" s="126" t="s">
        <v>1900</v>
      </c>
      <c r="C695" s="10">
        <v>0</v>
      </c>
      <c r="D695" s="10">
        <v>0</v>
      </c>
      <c r="E695" s="10">
        <v>3053.67</v>
      </c>
      <c r="F695" s="10">
        <v>0</v>
      </c>
      <c r="G695" s="10">
        <v>246</v>
      </c>
      <c r="H695" s="10">
        <v>1000</v>
      </c>
      <c r="I695" s="10">
        <v>4000</v>
      </c>
    </row>
    <row r="696" spans="1:9" x14ac:dyDescent="0.2">
      <c r="A696" s="248" t="s">
        <v>1801</v>
      </c>
      <c r="B696" s="126" t="s">
        <v>2000</v>
      </c>
      <c r="C696" s="10">
        <v>24937.279999999999</v>
      </c>
      <c r="D696" s="10">
        <v>0</v>
      </c>
      <c r="E696" s="10">
        <v>0</v>
      </c>
      <c r="F696" s="10">
        <v>0</v>
      </c>
      <c r="G696" s="10">
        <v>0</v>
      </c>
      <c r="H696" s="10">
        <v>0</v>
      </c>
      <c r="I696" s="10">
        <f t="shared" si="117"/>
        <v>0</v>
      </c>
    </row>
    <row r="697" spans="1:9" x14ac:dyDescent="0.2">
      <c r="A697" s="245"/>
      <c r="B697" s="6" t="s">
        <v>1118</v>
      </c>
      <c r="C697" s="38">
        <f t="shared" ref="C697:G697" si="118">SUM(C679:C696)</f>
        <v>79702.67</v>
      </c>
      <c r="D697" s="38">
        <f t="shared" si="118"/>
        <v>57020.44</v>
      </c>
      <c r="E697" s="38">
        <f t="shared" si="118"/>
        <v>63303.37</v>
      </c>
      <c r="F697" s="38">
        <f t="shared" si="118"/>
        <v>61837.35</v>
      </c>
      <c r="G697" s="38">
        <f t="shared" si="118"/>
        <v>63585.589999999982</v>
      </c>
      <c r="H697" s="38">
        <f t="shared" ref="H697:I697" si="119">SUM(H679:H696)</f>
        <v>67362</v>
      </c>
      <c r="I697" s="38">
        <f t="shared" si="119"/>
        <v>72824</v>
      </c>
    </row>
    <row r="698" spans="1:9" x14ac:dyDescent="0.2">
      <c r="A698" s="251" t="s">
        <v>1324</v>
      </c>
      <c r="B698" s="4" t="s">
        <v>620</v>
      </c>
      <c r="C698" s="10"/>
      <c r="E698" s="10"/>
      <c r="G698" s="10"/>
      <c r="H698" s="10"/>
      <c r="I698" s="10"/>
    </row>
    <row r="699" spans="1:9" x14ac:dyDescent="0.2">
      <c r="A699" s="245" t="s">
        <v>1325</v>
      </c>
      <c r="B699" s="126" t="s">
        <v>1884</v>
      </c>
      <c r="C699" s="17">
        <v>34816.080000000002</v>
      </c>
      <c r="D699" s="17">
        <v>35616.1</v>
      </c>
      <c r="E699" s="17">
        <v>36413.040000000001</v>
      </c>
      <c r="F699" s="17">
        <v>37616.019999999997</v>
      </c>
      <c r="G699" s="17">
        <v>39567</v>
      </c>
      <c r="H699" s="10">
        <v>40016</v>
      </c>
      <c r="I699" s="10">
        <v>42017</v>
      </c>
    </row>
    <row r="700" spans="1:9" x14ac:dyDescent="0.2">
      <c r="A700" s="245" t="s">
        <v>1326</v>
      </c>
      <c r="B700" s="126" t="s">
        <v>1889</v>
      </c>
      <c r="C700" s="17">
        <v>0</v>
      </c>
      <c r="D700" s="17">
        <v>0</v>
      </c>
      <c r="E700" s="17">
        <v>0</v>
      </c>
      <c r="F700" s="17">
        <v>173</v>
      </c>
      <c r="G700" s="17">
        <v>246.9</v>
      </c>
      <c r="H700" s="10">
        <v>300</v>
      </c>
      <c r="I700" s="10">
        <v>360</v>
      </c>
    </row>
    <row r="701" spans="1:9" x14ac:dyDescent="0.2">
      <c r="A701" s="245" t="s">
        <v>1327</v>
      </c>
      <c r="B701" s="126" t="s">
        <v>1956</v>
      </c>
      <c r="C701" s="10">
        <v>1999.92</v>
      </c>
      <c r="D701" s="10">
        <v>1999.92</v>
      </c>
      <c r="E701" s="10">
        <v>1999.92</v>
      </c>
      <c r="F701" s="10">
        <v>1999.92</v>
      </c>
      <c r="G701" s="10">
        <v>2038.38</v>
      </c>
      <c r="H701" s="10">
        <v>2000</v>
      </c>
      <c r="I701" s="10">
        <f t="shared" ref="I701" si="120">+H701</f>
        <v>2000</v>
      </c>
    </row>
    <row r="702" spans="1:9" x14ac:dyDescent="0.2">
      <c r="A702" s="245" t="s">
        <v>1328</v>
      </c>
      <c r="B702" s="126" t="s">
        <v>1891</v>
      </c>
      <c r="C702" s="10">
        <v>2491.1799999999998</v>
      </c>
      <c r="D702" s="10">
        <v>2441.34</v>
      </c>
      <c r="E702" s="10">
        <v>2533.5300000000002</v>
      </c>
      <c r="F702" s="10">
        <v>2640.48</v>
      </c>
      <c r="G702" s="10">
        <v>2804.98</v>
      </c>
      <c r="H702" s="10">
        <v>3312</v>
      </c>
      <c r="I702" s="10">
        <v>3470</v>
      </c>
    </row>
    <row r="703" spans="1:9" x14ac:dyDescent="0.2">
      <c r="A703" s="245" t="s">
        <v>1329</v>
      </c>
      <c r="B703" s="126" t="s">
        <v>1892</v>
      </c>
      <c r="C703" s="10">
        <v>4311.5</v>
      </c>
      <c r="D703" s="10">
        <v>4462.82</v>
      </c>
      <c r="E703" s="10">
        <v>4728.82</v>
      </c>
      <c r="F703" s="10">
        <v>4950.3999999999996</v>
      </c>
      <c r="G703" s="10">
        <v>5206.38</v>
      </c>
      <c r="H703" s="10">
        <v>5326</v>
      </c>
      <c r="I703" s="10">
        <v>5647</v>
      </c>
    </row>
    <row r="704" spans="1:9" x14ac:dyDescent="0.2">
      <c r="A704" s="245" t="s">
        <v>432</v>
      </c>
      <c r="B704" s="126" t="s">
        <v>1893</v>
      </c>
      <c r="C704" s="10">
        <v>6960</v>
      </c>
      <c r="D704" s="10">
        <v>7765</v>
      </c>
      <c r="E704" s="10">
        <v>7800</v>
      </c>
      <c r="F704" s="10">
        <v>7800</v>
      </c>
      <c r="G704" s="10">
        <v>7800</v>
      </c>
      <c r="H704" s="10">
        <v>7878</v>
      </c>
      <c r="I704" s="10">
        <v>7800</v>
      </c>
    </row>
    <row r="705" spans="1:9" x14ac:dyDescent="0.2">
      <c r="A705" s="245" t="s">
        <v>433</v>
      </c>
      <c r="B705" s="126" t="s">
        <v>1991</v>
      </c>
      <c r="C705" s="18">
        <v>264.43</v>
      </c>
      <c r="D705" s="18">
        <v>389.24</v>
      </c>
      <c r="E705" s="18">
        <v>0</v>
      </c>
      <c r="F705" s="18">
        <v>0</v>
      </c>
      <c r="G705" s="18">
        <v>0</v>
      </c>
      <c r="H705" s="10">
        <v>0</v>
      </c>
      <c r="I705" s="10">
        <f t="shared" ref="I705:I716" si="121">+H705</f>
        <v>0</v>
      </c>
    </row>
    <row r="706" spans="1:9" x14ac:dyDescent="0.2">
      <c r="A706" s="248" t="s">
        <v>1820</v>
      </c>
      <c r="B706" s="126" t="s">
        <v>2009</v>
      </c>
      <c r="C706" s="10">
        <v>0</v>
      </c>
      <c r="D706" s="10">
        <v>0</v>
      </c>
      <c r="E706" s="10">
        <v>499.98</v>
      </c>
      <c r="F706" s="10">
        <v>499.98</v>
      </c>
      <c r="G706" s="10">
        <v>509.6</v>
      </c>
      <c r="H706" s="10">
        <v>500</v>
      </c>
      <c r="I706" s="10">
        <f t="shared" si="121"/>
        <v>500</v>
      </c>
    </row>
    <row r="707" spans="1:9" x14ac:dyDescent="0.2">
      <c r="A707" s="245" t="s">
        <v>434</v>
      </c>
      <c r="B707" s="126" t="s">
        <v>1895</v>
      </c>
      <c r="C707" s="10">
        <v>134.97</v>
      </c>
      <c r="D707" s="10">
        <v>333.88</v>
      </c>
      <c r="E707" s="10">
        <v>475.48</v>
      </c>
      <c r="F707" s="10">
        <v>192.14</v>
      </c>
      <c r="G707" s="10">
        <v>263.39</v>
      </c>
      <c r="H707" s="10">
        <v>500</v>
      </c>
      <c r="I707" s="10">
        <f t="shared" si="121"/>
        <v>500</v>
      </c>
    </row>
    <row r="708" spans="1:9" ht="12.75" customHeight="1" x14ac:dyDescent="0.2">
      <c r="A708" s="245" t="s">
        <v>436</v>
      </c>
      <c r="B708" s="126" t="s">
        <v>1896</v>
      </c>
      <c r="C708" s="10">
        <v>20</v>
      </c>
      <c r="D708" s="10">
        <v>22</v>
      </c>
      <c r="E708" s="10">
        <v>22</v>
      </c>
      <c r="F708" s="10">
        <v>88</v>
      </c>
      <c r="G708" s="10">
        <v>58</v>
      </c>
      <c r="H708" s="10">
        <v>100</v>
      </c>
      <c r="I708" s="10">
        <f t="shared" si="121"/>
        <v>100</v>
      </c>
    </row>
    <row r="709" spans="1:9" ht="12.75" customHeight="1" x14ac:dyDescent="0.2">
      <c r="A709" s="245" t="s">
        <v>437</v>
      </c>
      <c r="B709" s="126" t="s">
        <v>1968</v>
      </c>
      <c r="C709" s="10">
        <v>1436.83</v>
      </c>
      <c r="D709" s="10">
        <v>1585.31</v>
      </c>
      <c r="E709" s="10">
        <v>1108.4100000000001</v>
      </c>
      <c r="F709" s="10">
        <v>1212.98</v>
      </c>
      <c r="G709" s="10">
        <v>2185.69</v>
      </c>
      <c r="H709" s="10">
        <v>3000</v>
      </c>
      <c r="I709" s="10">
        <v>3000</v>
      </c>
    </row>
    <row r="710" spans="1:9" x14ac:dyDescent="0.2">
      <c r="A710" s="245" t="s">
        <v>435</v>
      </c>
      <c r="B710" s="126" t="s">
        <v>1897</v>
      </c>
      <c r="C710" s="10">
        <v>480</v>
      </c>
      <c r="D710" s="10">
        <v>480</v>
      </c>
      <c r="E710" s="10">
        <v>480</v>
      </c>
      <c r="F710" s="10">
        <v>480</v>
      </c>
      <c r="G710" s="10">
        <v>480</v>
      </c>
      <c r="H710" s="10">
        <v>480</v>
      </c>
      <c r="I710" s="10">
        <f t="shared" si="121"/>
        <v>480</v>
      </c>
    </row>
    <row r="711" spans="1:9" x14ac:dyDescent="0.2">
      <c r="A711" s="245" t="s">
        <v>438</v>
      </c>
      <c r="B711" s="126" t="s">
        <v>1898</v>
      </c>
      <c r="C711" s="10">
        <v>1177.24</v>
      </c>
      <c r="D711" s="10">
        <v>359.88</v>
      </c>
      <c r="E711" s="10">
        <v>425</v>
      </c>
      <c r="F711" s="10">
        <v>360</v>
      </c>
      <c r="G711" s="10">
        <v>969.56</v>
      </c>
      <c r="H711" s="10">
        <v>1700</v>
      </c>
      <c r="I711" s="10">
        <v>1700</v>
      </c>
    </row>
    <row r="712" spans="1:9" x14ac:dyDescent="0.2">
      <c r="A712" s="245" t="s">
        <v>761</v>
      </c>
      <c r="B712" s="126" t="s">
        <v>1974</v>
      </c>
      <c r="C712" s="10">
        <v>0</v>
      </c>
      <c r="D712" s="10">
        <v>0</v>
      </c>
      <c r="E712" s="10">
        <v>0</v>
      </c>
      <c r="F712" s="10">
        <v>0</v>
      </c>
      <c r="G712" s="10">
        <v>0</v>
      </c>
      <c r="H712" s="10">
        <v>200</v>
      </c>
      <c r="I712" s="10">
        <v>200</v>
      </c>
    </row>
    <row r="713" spans="1:9" x14ac:dyDescent="0.2">
      <c r="A713" s="245" t="s">
        <v>1253</v>
      </c>
      <c r="B713" s="126" t="s">
        <v>1971</v>
      </c>
      <c r="C713" s="10">
        <v>761.96</v>
      </c>
      <c r="D713" s="10">
        <v>201.6</v>
      </c>
      <c r="E713" s="10">
        <v>677.5</v>
      </c>
      <c r="F713" s="10">
        <v>266.36</v>
      </c>
      <c r="G713" s="10">
        <v>395.85</v>
      </c>
      <c r="H713" s="10">
        <v>1000</v>
      </c>
      <c r="I713" s="10">
        <f t="shared" si="121"/>
        <v>1000</v>
      </c>
    </row>
    <row r="714" spans="1:9" x14ac:dyDescent="0.2">
      <c r="A714" s="245" t="s">
        <v>1254</v>
      </c>
      <c r="B714" s="126" t="s">
        <v>1899</v>
      </c>
      <c r="C714" s="18">
        <v>0</v>
      </c>
      <c r="D714" s="18">
        <v>0</v>
      </c>
      <c r="E714" s="18">
        <v>0</v>
      </c>
      <c r="F714" s="18">
        <v>178</v>
      </c>
      <c r="G714" s="18">
        <v>0</v>
      </c>
      <c r="H714" s="10">
        <v>0</v>
      </c>
      <c r="I714" s="10">
        <f t="shared" si="121"/>
        <v>0</v>
      </c>
    </row>
    <row r="715" spans="1:9" x14ac:dyDescent="0.2">
      <c r="A715" s="245" t="s">
        <v>1256</v>
      </c>
      <c r="B715" s="126" t="s">
        <v>1900</v>
      </c>
      <c r="C715" s="10">
        <v>0</v>
      </c>
      <c r="D715" s="10">
        <v>0</v>
      </c>
      <c r="E715" s="10">
        <v>71.95</v>
      </c>
      <c r="F715" s="10">
        <v>979</v>
      </c>
      <c r="G715" s="10">
        <v>1342.24</v>
      </c>
      <c r="H715" s="10">
        <v>800</v>
      </c>
      <c r="I715" s="10">
        <v>2200</v>
      </c>
    </row>
    <row r="716" spans="1:9" x14ac:dyDescent="0.2">
      <c r="A716" s="245" t="s">
        <v>1255</v>
      </c>
      <c r="B716" s="126" t="s">
        <v>2000</v>
      </c>
      <c r="C716" s="10">
        <v>27204.57</v>
      </c>
      <c r="D716" s="10">
        <v>0</v>
      </c>
      <c r="E716" s="10">
        <v>0</v>
      </c>
      <c r="F716" s="10">
        <v>0</v>
      </c>
      <c r="G716" s="10">
        <v>0</v>
      </c>
      <c r="H716" s="10">
        <v>0</v>
      </c>
      <c r="I716" s="10">
        <f t="shared" si="121"/>
        <v>0</v>
      </c>
    </row>
    <row r="717" spans="1:9" x14ac:dyDescent="0.2">
      <c r="A717" s="245"/>
      <c r="B717" s="6" t="s">
        <v>1118</v>
      </c>
      <c r="C717" s="38">
        <f t="shared" ref="C717:G717" si="122">SUM(C699:C716)</f>
        <v>82058.679999999993</v>
      </c>
      <c r="D717" s="38">
        <f t="shared" si="122"/>
        <v>55657.089999999989</v>
      </c>
      <c r="E717" s="38">
        <f t="shared" si="122"/>
        <v>57235.630000000005</v>
      </c>
      <c r="F717" s="38">
        <f t="shared" si="122"/>
        <v>59436.280000000006</v>
      </c>
      <c r="G717" s="38">
        <f t="shared" si="122"/>
        <v>63867.969999999994</v>
      </c>
      <c r="H717" s="38">
        <f t="shared" ref="H717:I717" si="123">SUM(H699:H716)</f>
        <v>67112</v>
      </c>
      <c r="I717" s="38">
        <f t="shared" si="123"/>
        <v>70974</v>
      </c>
    </row>
    <row r="718" spans="1:9" x14ac:dyDescent="0.2">
      <c r="A718" s="245"/>
      <c r="B718" s="4" t="s">
        <v>653</v>
      </c>
      <c r="C718" s="112" t="s">
        <v>1433</v>
      </c>
      <c r="D718" s="112" t="s">
        <v>1433</v>
      </c>
      <c r="E718" s="112" t="s">
        <v>1433</v>
      </c>
      <c r="F718" s="112" t="s">
        <v>1433</v>
      </c>
      <c r="G718" s="222" t="s">
        <v>1433</v>
      </c>
      <c r="H718" s="112" t="s">
        <v>1433</v>
      </c>
      <c r="I718" s="112" t="s">
        <v>1433</v>
      </c>
    </row>
    <row r="719" spans="1:9" x14ac:dyDescent="0.2">
      <c r="A719" s="245"/>
      <c r="B719" s="4" t="s">
        <v>980</v>
      </c>
      <c r="C719" s="112" t="s">
        <v>1433</v>
      </c>
      <c r="D719" s="112" t="s">
        <v>1433</v>
      </c>
      <c r="E719" s="112" t="s">
        <v>1433</v>
      </c>
      <c r="F719" s="112" t="s">
        <v>1433</v>
      </c>
      <c r="G719" s="222" t="s">
        <v>1433</v>
      </c>
      <c r="H719" s="112" t="s">
        <v>1433</v>
      </c>
      <c r="I719" s="112" t="s">
        <v>1433</v>
      </c>
    </row>
    <row r="720" spans="1:9" x14ac:dyDescent="0.2">
      <c r="A720" s="245"/>
      <c r="B720" s="4" t="s">
        <v>138</v>
      </c>
      <c r="C720" s="112" t="s">
        <v>1433</v>
      </c>
      <c r="D720" s="112" t="s">
        <v>1433</v>
      </c>
      <c r="E720" s="112" t="s">
        <v>1433</v>
      </c>
      <c r="F720" s="112" t="s">
        <v>1433</v>
      </c>
      <c r="G720" s="222" t="s">
        <v>1433</v>
      </c>
      <c r="H720" s="112" t="s">
        <v>1433</v>
      </c>
      <c r="I720" s="112" t="s">
        <v>1433</v>
      </c>
    </row>
    <row r="721" spans="1:9" x14ac:dyDescent="0.2">
      <c r="A721" s="245"/>
      <c r="C721" s="129" t="str">
        <f>+$C$4</f>
        <v>2018 ACTUAL</v>
      </c>
      <c r="D721" s="129" t="str">
        <f t="shared" ref="D721:I721" si="124">+D$4</f>
        <v>2019 ACTUAL</v>
      </c>
      <c r="E721" s="129" t="str">
        <f t="shared" si="124"/>
        <v>2020 ACTUAL</v>
      </c>
      <c r="F721" s="129" t="str">
        <f t="shared" si="124"/>
        <v>2021 ACTUAL</v>
      </c>
      <c r="G721" s="223" t="str">
        <f t="shared" si="124"/>
        <v>2022 ACTUAL</v>
      </c>
      <c r="H721" s="129" t="str">
        <f t="shared" si="124"/>
        <v xml:space="preserve">2023 BUDGET </v>
      </c>
      <c r="I721" s="129" t="str">
        <f t="shared" si="124"/>
        <v xml:space="preserve">2024 BUDGET </v>
      </c>
    </row>
    <row r="722" spans="1:9" x14ac:dyDescent="0.2">
      <c r="A722" s="251" t="s">
        <v>1257</v>
      </c>
      <c r="B722" s="4" t="s">
        <v>621</v>
      </c>
      <c r="C722" s="10"/>
      <c r="E722" s="10"/>
      <c r="G722" s="115"/>
      <c r="H722" s="10"/>
      <c r="I722" s="10"/>
    </row>
    <row r="723" spans="1:9" x14ac:dyDescent="0.2">
      <c r="A723" s="245" t="s">
        <v>1258</v>
      </c>
      <c r="B723" s="126" t="s">
        <v>1884</v>
      </c>
      <c r="C723" s="10">
        <v>69862</v>
      </c>
      <c r="D723" s="10">
        <v>70662.02</v>
      </c>
      <c r="E723" s="10">
        <v>71458.960000000006</v>
      </c>
      <c r="F723" s="10">
        <v>72661.94</v>
      </c>
      <c r="G723" s="10">
        <v>75305.460000000006</v>
      </c>
      <c r="H723" s="10">
        <v>75062</v>
      </c>
      <c r="I723" s="10">
        <v>85276</v>
      </c>
    </row>
    <row r="724" spans="1:9" x14ac:dyDescent="0.2">
      <c r="A724" s="245" t="s">
        <v>1259</v>
      </c>
      <c r="B724" s="126" t="s">
        <v>1901</v>
      </c>
      <c r="C724" s="18">
        <v>1709037</v>
      </c>
      <c r="D724" s="18">
        <v>1779251</v>
      </c>
      <c r="E724" s="18">
        <v>1799932.35</v>
      </c>
      <c r="F724" s="18">
        <v>1909328.48</v>
      </c>
      <c r="G724" s="18">
        <v>2374546.16</v>
      </c>
      <c r="H724" s="10">
        <v>2434550</v>
      </c>
      <c r="I724" s="10">
        <f>3076083-I723-I725</f>
        <v>2940730.64</v>
      </c>
    </row>
    <row r="725" spans="1:9" x14ac:dyDescent="0.2">
      <c r="A725" s="245" t="s">
        <v>2618</v>
      </c>
      <c r="B725" s="126" t="s">
        <v>1997</v>
      </c>
      <c r="C725" s="18">
        <v>0</v>
      </c>
      <c r="D725" s="18">
        <v>0</v>
      </c>
      <c r="E725" s="18">
        <v>0</v>
      </c>
      <c r="F725" s="18">
        <v>0</v>
      </c>
      <c r="G725" s="18">
        <v>0</v>
      </c>
      <c r="H725" s="10">
        <v>0</v>
      </c>
      <c r="I725" s="10">
        <v>50076.36</v>
      </c>
    </row>
    <row r="726" spans="1:9" x14ac:dyDescent="0.2">
      <c r="A726" s="245" t="s">
        <v>1260</v>
      </c>
      <c r="B726" s="126" t="s">
        <v>1904</v>
      </c>
      <c r="C726" s="10">
        <v>437375.29</v>
      </c>
      <c r="D726" s="10">
        <v>461243.97</v>
      </c>
      <c r="E726" s="10">
        <v>472178.81</v>
      </c>
      <c r="F726" s="10">
        <v>508258.41</v>
      </c>
      <c r="G726" s="10">
        <v>571705.14</v>
      </c>
      <c r="H726" s="10">
        <v>555838</v>
      </c>
      <c r="I726" s="18">
        <f>727830-75000</f>
        <v>652830</v>
      </c>
    </row>
    <row r="727" spans="1:9" x14ac:dyDescent="0.2">
      <c r="A727" s="245" t="s">
        <v>2619</v>
      </c>
      <c r="B727" s="126" t="s">
        <v>1998</v>
      </c>
      <c r="C727" s="10">
        <v>0</v>
      </c>
      <c r="D727" s="10">
        <v>0</v>
      </c>
      <c r="E727" s="10">
        <v>0</v>
      </c>
      <c r="F727" s="10">
        <v>0</v>
      </c>
      <c r="G727" s="10">
        <v>0</v>
      </c>
      <c r="H727" s="10">
        <v>0</v>
      </c>
      <c r="I727" s="10">
        <v>3200</v>
      </c>
    </row>
    <row r="728" spans="1:9" x14ac:dyDescent="0.2">
      <c r="A728" s="245" t="s">
        <v>1261</v>
      </c>
      <c r="B728" s="126" t="s">
        <v>2021</v>
      </c>
      <c r="C728" s="10">
        <v>639.58000000000004</v>
      </c>
      <c r="D728" s="10">
        <v>-4095.25</v>
      </c>
      <c r="E728" s="10">
        <v>-8793.33</v>
      </c>
      <c r="F728" s="10">
        <v>-6528.26</v>
      </c>
      <c r="G728" s="10">
        <v>13734.54</v>
      </c>
      <c r="H728" s="10">
        <v>75000</v>
      </c>
      <c r="I728" s="10">
        <v>75000</v>
      </c>
    </row>
    <row r="729" spans="1:9" x14ac:dyDescent="0.2">
      <c r="A729" s="245" t="s">
        <v>1271</v>
      </c>
      <c r="B729" s="126" t="s">
        <v>2041</v>
      </c>
      <c r="C729" s="10">
        <v>37351.58</v>
      </c>
      <c r="D729" s="10">
        <v>55459.55</v>
      </c>
      <c r="E729" s="10">
        <v>42169.96</v>
      </c>
      <c r="F729" s="10">
        <v>119709.37</v>
      </c>
      <c r="G729" s="10">
        <v>0</v>
      </c>
      <c r="H729" s="10">
        <v>0</v>
      </c>
      <c r="I729" s="10">
        <f t="shared" ref="I729:I758" si="125">+H729</f>
        <v>0</v>
      </c>
    </row>
    <row r="730" spans="1:9" x14ac:dyDescent="0.2">
      <c r="A730" s="245" t="s">
        <v>2635</v>
      </c>
      <c r="B730" s="126" t="s">
        <v>2634</v>
      </c>
      <c r="C730" s="17">
        <v>0</v>
      </c>
      <c r="D730" s="17">
        <v>0</v>
      </c>
      <c r="E730" s="17">
        <v>0</v>
      </c>
      <c r="F730" s="17">
        <v>0</v>
      </c>
      <c r="G730" s="17">
        <v>0</v>
      </c>
      <c r="H730" s="10">
        <v>0</v>
      </c>
      <c r="I730" s="10">
        <v>76500</v>
      </c>
    </row>
    <row r="731" spans="1:9" x14ac:dyDescent="0.2">
      <c r="A731" s="245" t="s">
        <v>1263</v>
      </c>
      <c r="B731" s="126" t="s">
        <v>1889</v>
      </c>
      <c r="C731" s="10">
        <v>16792.93</v>
      </c>
      <c r="D731" s="10">
        <v>24824.400000000001</v>
      </c>
      <c r="E731" s="10">
        <v>24107.200000000001</v>
      </c>
      <c r="F731" s="10">
        <v>22388.14</v>
      </c>
      <c r="G731" s="10">
        <v>23345.37</v>
      </c>
      <c r="H731" s="10">
        <v>25200</v>
      </c>
      <c r="I731" s="10">
        <v>21000</v>
      </c>
    </row>
    <row r="732" spans="1:9" x14ac:dyDescent="0.2">
      <c r="A732" s="245" t="s">
        <v>1262</v>
      </c>
      <c r="B732" s="126" t="s">
        <v>1956</v>
      </c>
      <c r="C732" s="18">
        <v>43138.62</v>
      </c>
      <c r="D732" s="18">
        <v>42731.43</v>
      </c>
      <c r="E732" s="18">
        <v>48446.26</v>
      </c>
      <c r="F732" s="18">
        <v>47138.42</v>
      </c>
      <c r="G732" s="18">
        <v>51126.82</v>
      </c>
      <c r="H732" s="10">
        <v>62200</v>
      </c>
      <c r="I732" s="10">
        <v>70600</v>
      </c>
    </row>
    <row r="733" spans="1:9" x14ac:dyDescent="0.2">
      <c r="A733" s="245" t="s">
        <v>1264</v>
      </c>
      <c r="B733" s="126" t="s">
        <v>1891</v>
      </c>
      <c r="C733" s="18">
        <v>174257.6</v>
      </c>
      <c r="D733" s="18">
        <v>183185.94</v>
      </c>
      <c r="E733" s="18">
        <v>185098.23</v>
      </c>
      <c r="F733" s="18">
        <v>195424.89</v>
      </c>
      <c r="G733" s="18">
        <v>228231.13</v>
      </c>
      <c r="H733" s="10">
        <v>248748</v>
      </c>
      <c r="I733" s="10">
        <v>306013</v>
      </c>
    </row>
    <row r="734" spans="1:9" x14ac:dyDescent="0.2">
      <c r="A734" s="245" t="s">
        <v>1265</v>
      </c>
      <c r="B734" s="126" t="s">
        <v>1892</v>
      </c>
      <c r="C734" s="18">
        <v>278061.53999999998</v>
      </c>
      <c r="D734" s="18">
        <v>298849.5</v>
      </c>
      <c r="E734" s="18">
        <v>311995.08</v>
      </c>
      <c r="F734" s="18">
        <v>330093.51</v>
      </c>
      <c r="G734" s="18">
        <v>385803.42</v>
      </c>
      <c r="H734" s="10">
        <v>402709</v>
      </c>
      <c r="I734" s="10">
        <v>498022</v>
      </c>
    </row>
    <row r="735" spans="1:9" x14ac:dyDescent="0.2">
      <c r="A735" s="245" t="s">
        <v>1266</v>
      </c>
      <c r="B735" s="126" t="s">
        <v>1893</v>
      </c>
      <c r="C735" s="18">
        <v>346308.68</v>
      </c>
      <c r="D735" s="18">
        <v>390445.5</v>
      </c>
      <c r="E735" s="18">
        <v>397894.28</v>
      </c>
      <c r="F735" s="18">
        <v>413682.63</v>
      </c>
      <c r="G735" s="18">
        <v>417533.59</v>
      </c>
      <c r="H735" s="10">
        <v>512242</v>
      </c>
      <c r="I735" s="10">
        <v>522600</v>
      </c>
    </row>
    <row r="736" spans="1:9" x14ac:dyDescent="0.2">
      <c r="A736" s="245" t="s">
        <v>1268</v>
      </c>
      <c r="B736" s="126" t="s">
        <v>1991</v>
      </c>
      <c r="C736" s="10">
        <v>20889.07</v>
      </c>
      <c r="D736" s="10">
        <v>24122.77</v>
      </c>
      <c r="E736" s="10">
        <v>21079.68</v>
      </c>
      <c r="F736" s="10">
        <v>16085.15</v>
      </c>
      <c r="G736" s="10">
        <v>27936.48</v>
      </c>
      <c r="H736" s="10">
        <v>33000</v>
      </c>
      <c r="I736" s="10">
        <v>33000</v>
      </c>
    </row>
    <row r="737" spans="1:9" x14ac:dyDescent="0.2">
      <c r="A737" s="245" t="s">
        <v>1267</v>
      </c>
      <c r="B737" s="126" t="s">
        <v>2009</v>
      </c>
      <c r="C737" s="10">
        <v>7760</v>
      </c>
      <c r="D737" s="10">
        <v>7780</v>
      </c>
      <c r="E737" s="10">
        <v>8240</v>
      </c>
      <c r="F737" s="10">
        <v>8210</v>
      </c>
      <c r="G737" s="10">
        <v>8770</v>
      </c>
      <c r="H737" s="10">
        <v>9360</v>
      </c>
      <c r="I737" s="10">
        <v>9360</v>
      </c>
    </row>
    <row r="738" spans="1:9" x14ac:dyDescent="0.2">
      <c r="A738" s="245" t="s">
        <v>1273</v>
      </c>
      <c r="B738" s="126" t="s">
        <v>1895</v>
      </c>
      <c r="C738" s="18">
        <v>18455.740000000002</v>
      </c>
      <c r="D738" s="18">
        <v>19520.62</v>
      </c>
      <c r="E738" s="18">
        <v>15157.95</v>
      </c>
      <c r="F738" s="18">
        <v>17053.66</v>
      </c>
      <c r="G738" s="18">
        <v>19876.71</v>
      </c>
      <c r="H738" s="10">
        <v>18000</v>
      </c>
      <c r="I738" s="10">
        <v>30000</v>
      </c>
    </row>
    <row r="739" spans="1:9" x14ac:dyDescent="0.2">
      <c r="A739" s="245" t="s">
        <v>1274</v>
      </c>
      <c r="B739" s="126" t="s">
        <v>1896</v>
      </c>
      <c r="C739" s="10">
        <v>9832.24</v>
      </c>
      <c r="D739" s="10">
        <v>10071.040000000001</v>
      </c>
      <c r="E739" s="10">
        <v>5792.59</v>
      </c>
      <c r="F739" s="10">
        <v>6883.06</v>
      </c>
      <c r="G739" s="10">
        <v>12944.67</v>
      </c>
      <c r="H739" s="10">
        <v>14400</v>
      </c>
      <c r="I739" s="10">
        <v>15000</v>
      </c>
    </row>
    <row r="740" spans="1:9" x14ac:dyDescent="0.2">
      <c r="A740" s="245" t="s">
        <v>1275</v>
      </c>
      <c r="B740" s="126" t="s">
        <v>2010</v>
      </c>
      <c r="C740" s="18">
        <v>1732.88</v>
      </c>
      <c r="D740" s="18">
        <v>2882.07</v>
      </c>
      <c r="E740" s="18">
        <v>14403.26</v>
      </c>
      <c r="F740" s="18">
        <v>0</v>
      </c>
      <c r="G740" s="18">
        <v>1549.49</v>
      </c>
      <c r="H740" s="10">
        <v>8000</v>
      </c>
      <c r="I740" s="10">
        <v>7700</v>
      </c>
    </row>
    <row r="741" spans="1:9" x14ac:dyDescent="0.2">
      <c r="A741" s="245" t="s">
        <v>1276</v>
      </c>
      <c r="B741" s="126" t="s">
        <v>1968</v>
      </c>
      <c r="C741" s="18">
        <v>171017.8</v>
      </c>
      <c r="D741" s="18">
        <v>160829.51</v>
      </c>
      <c r="E741" s="18">
        <v>174567.64</v>
      </c>
      <c r="F741" s="18">
        <v>169063.91</v>
      </c>
      <c r="G741" s="18">
        <v>252230.16</v>
      </c>
      <c r="H741" s="10">
        <v>300000</v>
      </c>
      <c r="I741" s="10">
        <v>300000</v>
      </c>
    </row>
    <row r="742" spans="1:9" x14ac:dyDescent="0.2">
      <c r="A742" s="245" t="s">
        <v>1277</v>
      </c>
      <c r="B742" s="126" t="s">
        <v>2011</v>
      </c>
      <c r="C742" s="18">
        <v>14097.23</v>
      </c>
      <c r="D742" s="18">
        <v>19698.490000000002</v>
      </c>
      <c r="E742" s="18">
        <v>19929.830000000002</v>
      </c>
      <c r="F742" s="18">
        <v>11208.98</v>
      </c>
      <c r="G742" s="18">
        <v>28679.67</v>
      </c>
      <c r="H742" s="10">
        <v>35000</v>
      </c>
      <c r="I742" s="10">
        <v>35000</v>
      </c>
    </row>
    <row r="743" spans="1:9" x14ac:dyDescent="0.2">
      <c r="A743" s="245" t="s">
        <v>1278</v>
      </c>
      <c r="B743" s="126" t="s">
        <v>2012</v>
      </c>
      <c r="C743" s="18">
        <v>5762.96</v>
      </c>
      <c r="D743" s="18">
        <v>5432.86</v>
      </c>
      <c r="E743" s="18">
        <v>5179.8999999999996</v>
      </c>
      <c r="F743" s="18">
        <v>1764.89</v>
      </c>
      <c r="G743" s="18">
        <v>7593.48</v>
      </c>
      <c r="H743" s="10">
        <v>9000</v>
      </c>
      <c r="I743" s="10">
        <v>7000</v>
      </c>
    </row>
    <row r="744" spans="1:9" x14ac:dyDescent="0.2">
      <c r="A744" s="245" t="s">
        <v>773</v>
      </c>
      <c r="B744" s="126" t="s">
        <v>2013</v>
      </c>
      <c r="C744" s="18">
        <v>0</v>
      </c>
      <c r="D744" s="18">
        <v>3336</v>
      </c>
      <c r="E744" s="18">
        <v>0</v>
      </c>
      <c r="F744" s="18">
        <v>4131.8999999999996</v>
      </c>
      <c r="G744" s="18">
        <v>0</v>
      </c>
      <c r="H744" s="10">
        <v>8000</v>
      </c>
      <c r="I744" s="10">
        <f t="shared" si="125"/>
        <v>8000</v>
      </c>
    </row>
    <row r="745" spans="1:9" x14ac:dyDescent="0.2">
      <c r="A745" s="245" t="s">
        <v>1279</v>
      </c>
      <c r="B745" s="126" t="s">
        <v>1969</v>
      </c>
      <c r="C745" s="18">
        <v>12379.81</v>
      </c>
      <c r="D745" s="18">
        <v>21995.43</v>
      </c>
      <c r="E745" s="18">
        <v>22091.81</v>
      </c>
      <c r="F745" s="18">
        <v>22803.23</v>
      </c>
      <c r="G745" s="18">
        <v>19195.79</v>
      </c>
      <c r="H745" s="10">
        <v>25500</v>
      </c>
      <c r="I745" s="10">
        <v>20500</v>
      </c>
    </row>
    <row r="746" spans="1:9" x14ac:dyDescent="0.2">
      <c r="A746" s="245" t="s">
        <v>1280</v>
      </c>
      <c r="B746" s="126" t="s">
        <v>1897</v>
      </c>
      <c r="C746" s="18">
        <v>11680</v>
      </c>
      <c r="D746" s="18">
        <v>11920</v>
      </c>
      <c r="E746" s="18">
        <v>12290</v>
      </c>
      <c r="F746" s="18">
        <v>12680</v>
      </c>
      <c r="G746" s="18">
        <v>13760</v>
      </c>
      <c r="H746" s="10">
        <v>14400</v>
      </c>
      <c r="I746" s="10">
        <v>15600</v>
      </c>
    </row>
    <row r="747" spans="1:9" x14ac:dyDescent="0.2">
      <c r="A747" s="245" t="s">
        <v>1281</v>
      </c>
      <c r="B747" s="126" t="s">
        <v>2014</v>
      </c>
      <c r="C747" s="18">
        <v>13198.74</v>
      </c>
      <c r="D747" s="18">
        <v>5788.09</v>
      </c>
      <c r="E747" s="18">
        <v>12066.8</v>
      </c>
      <c r="F747" s="18">
        <v>4634.54</v>
      </c>
      <c r="G747" s="18">
        <v>4728.37</v>
      </c>
      <c r="H747" s="10">
        <v>14000</v>
      </c>
      <c r="I747" s="10">
        <f t="shared" si="125"/>
        <v>14000</v>
      </c>
    </row>
    <row r="748" spans="1:9" x14ac:dyDescent="0.2">
      <c r="A748" s="245" t="s">
        <v>1282</v>
      </c>
      <c r="B748" s="126" t="s">
        <v>1898</v>
      </c>
      <c r="C748" s="18">
        <v>21469.91</v>
      </c>
      <c r="D748" s="18">
        <v>20888.54</v>
      </c>
      <c r="E748" s="18">
        <v>18858.3</v>
      </c>
      <c r="F748" s="18">
        <v>31121.09</v>
      </c>
      <c r="G748" s="18">
        <v>31976.5</v>
      </c>
      <c r="H748" s="10">
        <v>41200</v>
      </c>
      <c r="I748" s="10">
        <v>52425</v>
      </c>
    </row>
    <row r="749" spans="1:9" x14ac:dyDescent="0.2">
      <c r="A749" s="245" t="s">
        <v>1283</v>
      </c>
      <c r="B749" s="126" t="s">
        <v>1971</v>
      </c>
      <c r="C749" s="18">
        <v>103504.03</v>
      </c>
      <c r="D749" s="18">
        <v>84920.33</v>
      </c>
      <c r="E749" s="18">
        <v>63133.919999999998</v>
      </c>
      <c r="F749" s="18">
        <v>86933.440000000002</v>
      </c>
      <c r="G749" s="18">
        <v>117884.85</v>
      </c>
      <c r="H749" s="10">
        <v>65000</v>
      </c>
      <c r="I749" s="10">
        <v>65000</v>
      </c>
    </row>
    <row r="750" spans="1:9" x14ac:dyDescent="0.2">
      <c r="A750" s="245" t="s">
        <v>1284</v>
      </c>
      <c r="B750" s="126" t="s">
        <v>2015</v>
      </c>
      <c r="C750" s="18">
        <v>25815.56</v>
      </c>
      <c r="D750" s="18">
        <v>24683.53</v>
      </c>
      <c r="E750" s="18">
        <v>22240.33</v>
      </c>
      <c r="F750" s="18">
        <v>25061.06</v>
      </c>
      <c r="G750" s="18">
        <v>20187.830000000002</v>
      </c>
      <c r="H750" s="10">
        <v>30000</v>
      </c>
      <c r="I750" s="10">
        <v>33000</v>
      </c>
    </row>
    <row r="751" spans="1:9" x14ac:dyDescent="0.2">
      <c r="A751" s="245" t="s">
        <v>1285</v>
      </c>
      <c r="B751" s="126" t="s">
        <v>1899</v>
      </c>
      <c r="C751" s="18">
        <v>0</v>
      </c>
      <c r="D751" s="18">
        <v>0</v>
      </c>
      <c r="E751" s="18">
        <v>0</v>
      </c>
      <c r="F751" s="18">
        <v>533</v>
      </c>
      <c r="G751" s="18">
        <v>0</v>
      </c>
      <c r="H751" s="10">
        <v>0</v>
      </c>
      <c r="I751" s="10">
        <f t="shared" si="125"/>
        <v>0</v>
      </c>
    </row>
    <row r="752" spans="1:9" x14ac:dyDescent="0.2">
      <c r="A752" s="245" t="s">
        <v>2620</v>
      </c>
      <c r="B752" s="126" t="s">
        <v>2040</v>
      </c>
      <c r="C752" s="18">
        <v>0</v>
      </c>
      <c r="D752" s="18">
        <v>0</v>
      </c>
      <c r="E752" s="18">
        <v>0</v>
      </c>
      <c r="F752" s="18">
        <v>0</v>
      </c>
      <c r="G752" s="18">
        <v>0</v>
      </c>
      <c r="H752" s="10">
        <v>0</v>
      </c>
      <c r="I752" s="10">
        <v>2500</v>
      </c>
    </row>
    <row r="753" spans="1:9" x14ac:dyDescent="0.2">
      <c r="A753" s="245" t="s">
        <v>1286</v>
      </c>
      <c r="B753" s="126" t="s">
        <v>1878</v>
      </c>
      <c r="C753" s="18">
        <v>13156.21</v>
      </c>
      <c r="D753" s="18">
        <v>9885.7199999999993</v>
      </c>
      <c r="E753" s="18">
        <v>7088.36</v>
      </c>
      <c r="F753" s="18">
        <v>9648.09</v>
      </c>
      <c r="G753" s="18">
        <v>8735</v>
      </c>
      <c r="H753" s="10">
        <v>12000</v>
      </c>
      <c r="I753" s="10">
        <v>12000</v>
      </c>
    </row>
    <row r="754" spans="1:9" x14ac:dyDescent="0.2">
      <c r="A754" s="245" t="s">
        <v>1287</v>
      </c>
      <c r="B754" s="126" t="s">
        <v>1900</v>
      </c>
      <c r="C754" s="18">
        <v>41835.14</v>
      </c>
      <c r="D754" s="18">
        <v>37330.26</v>
      </c>
      <c r="E754" s="18">
        <v>100005.41</v>
      </c>
      <c r="F754" s="18">
        <v>201629.31</v>
      </c>
      <c r="G754" s="18">
        <v>109600.39</v>
      </c>
      <c r="H754" s="10">
        <v>98000</v>
      </c>
      <c r="I754" s="10">
        <v>160000</v>
      </c>
    </row>
    <row r="755" spans="1:9" x14ac:dyDescent="0.2">
      <c r="A755" s="245" t="s">
        <v>668</v>
      </c>
      <c r="B755" s="126" t="s">
        <v>2016</v>
      </c>
      <c r="C755" s="18">
        <v>10788.72</v>
      </c>
      <c r="D755" s="18">
        <v>10917.96</v>
      </c>
      <c r="E755" s="18">
        <v>10054</v>
      </c>
      <c r="F755" s="18">
        <v>4262.22</v>
      </c>
      <c r="G755" s="18">
        <v>16431.669999999998</v>
      </c>
      <c r="H755" s="10">
        <v>15000</v>
      </c>
      <c r="I755" s="10">
        <v>16000</v>
      </c>
    </row>
    <row r="756" spans="1:9" x14ac:dyDescent="0.2">
      <c r="A756" s="245" t="s">
        <v>178</v>
      </c>
      <c r="B756" s="126" t="s">
        <v>2017</v>
      </c>
      <c r="C756" s="18">
        <v>17.98</v>
      </c>
      <c r="D756" s="18">
        <v>384.92</v>
      </c>
      <c r="E756" s="18">
        <v>753.46</v>
      </c>
      <c r="F756" s="18">
        <v>0</v>
      </c>
      <c r="G756" s="18">
        <v>0</v>
      </c>
      <c r="H756" s="10">
        <v>1000</v>
      </c>
      <c r="I756" s="10">
        <f t="shared" si="125"/>
        <v>1000</v>
      </c>
    </row>
    <row r="757" spans="1:9" x14ac:dyDescent="0.2">
      <c r="A757" s="245" t="s">
        <v>1288</v>
      </c>
      <c r="B757" s="126" t="s">
        <v>2000</v>
      </c>
      <c r="C757" s="18">
        <v>138996.10999999999</v>
      </c>
      <c r="D757" s="18">
        <v>195682</v>
      </c>
      <c r="E757" s="18">
        <v>928196</v>
      </c>
      <c r="F757" s="18">
        <v>201105</v>
      </c>
      <c r="G757" s="18">
        <v>0</v>
      </c>
      <c r="H757" s="10">
        <v>0</v>
      </c>
      <c r="I757" s="10">
        <f t="shared" si="125"/>
        <v>0</v>
      </c>
    </row>
    <row r="758" spans="1:9" x14ac:dyDescent="0.2">
      <c r="A758" s="245" t="s">
        <v>1336</v>
      </c>
      <c r="B758" s="126" t="s">
        <v>2018</v>
      </c>
      <c r="C758" s="18">
        <v>3879.02</v>
      </c>
      <c r="D758" s="18">
        <v>12118.9</v>
      </c>
      <c r="E758" s="18">
        <v>11401.28</v>
      </c>
      <c r="F758" s="18">
        <v>11403.82</v>
      </c>
      <c r="G758" s="18">
        <v>11402.44</v>
      </c>
      <c r="H758" s="10">
        <v>14000</v>
      </c>
      <c r="I758" s="10">
        <f t="shared" si="125"/>
        <v>14000</v>
      </c>
    </row>
    <row r="759" spans="1:9" x14ac:dyDescent="0.2">
      <c r="A759" s="245" t="s">
        <v>1289</v>
      </c>
      <c r="B759" s="126" t="s">
        <v>2019</v>
      </c>
      <c r="C759" s="18">
        <v>46190.79</v>
      </c>
      <c r="D759" s="18">
        <v>42089.69</v>
      </c>
      <c r="E759" s="18">
        <v>35968.19</v>
      </c>
      <c r="F759" s="18">
        <v>7700.17</v>
      </c>
      <c r="G759" s="18">
        <v>6755.12</v>
      </c>
      <c r="H759" s="10">
        <v>45600</v>
      </c>
      <c r="I759" s="10">
        <v>35000</v>
      </c>
    </row>
    <row r="760" spans="1:9" x14ac:dyDescent="0.2">
      <c r="A760" s="245" t="s">
        <v>11</v>
      </c>
      <c r="B760" s="126" t="s">
        <v>2020</v>
      </c>
      <c r="C760" s="18">
        <v>0</v>
      </c>
      <c r="D760" s="18">
        <v>0</v>
      </c>
      <c r="E760" s="18">
        <v>0</v>
      </c>
      <c r="F760" s="18">
        <v>0</v>
      </c>
      <c r="G760" s="18">
        <v>0</v>
      </c>
      <c r="H760" s="10">
        <v>0</v>
      </c>
      <c r="I760" s="10">
        <v>0</v>
      </c>
    </row>
    <row r="761" spans="1:9" x14ac:dyDescent="0.2">
      <c r="A761" s="245" t="s">
        <v>2519</v>
      </c>
      <c r="B761" s="126" t="s">
        <v>2520</v>
      </c>
      <c r="C761" s="18">
        <v>0</v>
      </c>
      <c r="D761" s="18">
        <v>0</v>
      </c>
      <c r="E761" s="18">
        <v>0</v>
      </c>
      <c r="F761" s="18">
        <v>0</v>
      </c>
      <c r="G761" s="18">
        <v>0</v>
      </c>
      <c r="H761" s="10">
        <v>200000</v>
      </c>
      <c r="I761" s="10">
        <v>0</v>
      </c>
    </row>
    <row r="762" spans="1:9" x14ac:dyDescent="0.2">
      <c r="A762" s="245" t="s">
        <v>2303</v>
      </c>
      <c r="B762" s="126" t="s">
        <v>2301</v>
      </c>
      <c r="C762" s="18">
        <v>0</v>
      </c>
      <c r="D762" s="18">
        <v>0</v>
      </c>
      <c r="E762" s="18">
        <v>200892.95</v>
      </c>
      <c r="F762" s="18">
        <v>303017.33</v>
      </c>
      <c r="G762" s="18">
        <v>444304.91</v>
      </c>
      <c r="H762" s="10">
        <v>558000</v>
      </c>
      <c r="I762" s="10">
        <v>735584</v>
      </c>
    </row>
    <row r="763" spans="1:9" x14ac:dyDescent="0.2">
      <c r="A763" s="245" t="s">
        <v>2621</v>
      </c>
      <c r="B763" s="126" t="s">
        <v>2006</v>
      </c>
      <c r="C763" s="18">
        <v>0</v>
      </c>
      <c r="D763" s="18">
        <v>0</v>
      </c>
      <c r="E763" s="18">
        <v>0</v>
      </c>
      <c r="F763" s="18">
        <v>0</v>
      </c>
      <c r="G763" s="18">
        <v>0</v>
      </c>
      <c r="H763" s="10">
        <v>0</v>
      </c>
      <c r="I763" s="10">
        <v>8900</v>
      </c>
    </row>
    <row r="764" spans="1:9" x14ac:dyDescent="0.2">
      <c r="A764" s="245"/>
      <c r="B764" s="6" t="s">
        <v>1118</v>
      </c>
      <c r="C764" s="38">
        <f t="shared" ref="C764:I764" si="126">SUM(C723:C763)</f>
        <v>3805284.7600000012</v>
      </c>
      <c r="D764" s="38">
        <f t="shared" si="126"/>
        <v>4034836.79</v>
      </c>
      <c r="E764" s="38">
        <f t="shared" si="126"/>
        <v>5053879.46</v>
      </c>
      <c r="F764" s="38">
        <f t="shared" si="126"/>
        <v>4769091.38</v>
      </c>
      <c r="G764" s="38">
        <f t="shared" si="126"/>
        <v>5305875.1600000011</v>
      </c>
      <c r="H764" s="38">
        <f t="shared" si="126"/>
        <v>5960009</v>
      </c>
      <c r="I764" s="38">
        <f t="shared" si="126"/>
        <v>6932417</v>
      </c>
    </row>
    <row r="765" spans="1:9" x14ac:dyDescent="0.2">
      <c r="B765" s="232" t="s">
        <v>2632</v>
      </c>
      <c r="C765" s="10"/>
      <c r="E765" s="10"/>
      <c r="G765" s="10"/>
      <c r="H765" s="10"/>
      <c r="I765" s="10"/>
    </row>
    <row r="766" spans="1:9" x14ac:dyDescent="0.2">
      <c r="A766" s="245"/>
      <c r="B766" s="4" t="s">
        <v>653</v>
      </c>
      <c r="C766" s="112" t="s">
        <v>1433</v>
      </c>
      <c r="D766" s="112"/>
      <c r="E766" s="112"/>
      <c r="F766" s="112" t="s">
        <v>1433</v>
      </c>
      <c r="G766" s="222" t="s">
        <v>1433</v>
      </c>
      <c r="H766" s="112" t="s">
        <v>1433</v>
      </c>
      <c r="I766" s="112" t="s">
        <v>1433</v>
      </c>
    </row>
    <row r="767" spans="1:9" x14ac:dyDescent="0.2">
      <c r="A767" s="245"/>
      <c r="B767" s="4" t="s">
        <v>980</v>
      </c>
      <c r="C767" s="112" t="s">
        <v>1433</v>
      </c>
      <c r="D767" s="112"/>
      <c r="E767" s="112"/>
      <c r="F767" s="112"/>
      <c r="G767" s="222"/>
      <c r="H767" s="112"/>
      <c r="I767" s="112"/>
    </row>
    <row r="768" spans="1:9" x14ac:dyDescent="0.2">
      <c r="A768" s="245"/>
      <c r="B768" s="4" t="s">
        <v>138</v>
      </c>
      <c r="C768" s="112" t="s">
        <v>1433</v>
      </c>
      <c r="D768" s="112" t="s">
        <v>1433</v>
      </c>
      <c r="E768" s="112" t="s">
        <v>1433</v>
      </c>
      <c r="F768" s="112" t="s">
        <v>1433</v>
      </c>
      <c r="G768" s="222" t="s">
        <v>1433</v>
      </c>
      <c r="H768" s="112" t="s">
        <v>1433</v>
      </c>
      <c r="I768" s="112" t="s">
        <v>1433</v>
      </c>
    </row>
    <row r="769" spans="1:9" x14ac:dyDescent="0.2">
      <c r="A769" s="245"/>
      <c r="C769" s="129" t="str">
        <f>+$C$4</f>
        <v>2018 ACTUAL</v>
      </c>
      <c r="D769" s="129" t="str">
        <f t="shared" ref="D769:I769" si="127">+D$4</f>
        <v>2019 ACTUAL</v>
      </c>
      <c r="E769" s="129" t="str">
        <f t="shared" si="127"/>
        <v>2020 ACTUAL</v>
      </c>
      <c r="F769" s="129" t="str">
        <f t="shared" si="127"/>
        <v>2021 ACTUAL</v>
      </c>
      <c r="G769" s="223" t="str">
        <f t="shared" si="127"/>
        <v>2022 ACTUAL</v>
      </c>
      <c r="H769" s="129" t="str">
        <f t="shared" si="127"/>
        <v xml:space="preserve">2023 BUDGET </v>
      </c>
      <c r="I769" s="129" t="str">
        <f t="shared" si="127"/>
        <v xml:space="preserve">2024 BUDGET </v>
      </c>
    </row>
    <row r="770" spans="1:9" x14ac:dyDescent="0.2">
      <c r="A770" s="251" t="s">
        <v>798</v>
      </c>
      <c r="B770" s="4" t="s">
        <v>762</v>
      </c>
      <c r="C770" s="10"/>
      <c r="E770" s="10"/>
      <c r="G770" s="115"/>
      <c r="H770" s="10"/>
      <c r="I770" s="10"/>
    </row>
    <row r="771" spans="1:9" x14ac:dyDescent="0.2">
      <c r="A771" s="245" t="s">
        <v>800</v>
      </c>
      <c r="B771" s="126" t="s">
        <v>2021</v>
      </c>
      <c r="C771" s="10">
        <v>21379.67</v>
      </c>
      <c r="D771" s="10">
        <v>14341.78</v>
      </c>
      <c r="E771" s="10">
        <v>7655.6</v>
      </c>
      <c r="F771" s="10">
        <v>1274.17</v>
      </c>
      <c r="G771" s="10">
        <v>1536.22</v>
      </c>
      <c r="H771" s="10">
        <v>75000</v>
      </c>
      <c r="I771" s="10">
        <v>75000</v>
      </c>
    </row>
    <row r="772" spans="1:9" x14ac:dyDescent="0.2">
      <c r="A772" s="245" t="s">
        <v>1337</v>
      </c>
      <c r="B772" s="126" t="s">
        <v>2022</v>
      </c>
      <c r="C772" s="18">
        <v>0</v>
      </c>
      <c r="D772" s="18">
        <v>0</v>
      </c>
      <c r="E772" s="18">
        <v>0</v>
      </c>
      <c r="F772" s="18">
        <v>0</v>
      </c>
      <c r="G772" s="18">
        <v>0</v>
      </c>
      <c r="H772" s="10">
        <v>0</v>
      </c>
      <c r="I772" s="10">
        <f t="shared" ref="I772:I793" si="128">+H772</f>
        <v>0</v>
      </c>
    </row>
    <row r="773" spans="1:9" ht="12.75" customHeight="1" x14ac:dyDescent="0.2">
      <c r="A773" s="245" t="s">
        <v>799</v>
      </c>
      <c r="B773" s="126" t="s">
        <v>2023</v>
      </c>
      <c r="C773" s="18">
        <v>884968.01</v>
      </c>
      <c r="D773" s="18">
        <v>895474.33</v>
      </c>
      <c r="E773" s="18">
        <v>866732.15</v>
      </c>
      <c r="F773" s="18">
        <v>974232.65</v>
      </c>
      <c r="G773" s="18">
        <v>934519.85</v>
      </c>
      <c r="H773" s="10">
        <v>884085</v>
      </c>
      <c r="I773" s="10">
        <f>993817-I771</f>
        <v>918817</v>
      </c>
    </row>
    <row r="774" spans="1:9" x14ac:dyDescent="0.2">
      <c r="A774" s="245" t="s">
        <v>2636</v>
      </c>
      <c r="B774" s="126" t="s">
        <v>2634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0">
        <v>0</v>
      </c>
      <c r="I774" s="10">
        <v>163000</v>
      </c>
    </row>
    <row r="775" spans="1:9" x14ac:dyDescent="0.2">
      <c r="A775" s="245" t="s">
        <v>801</v>
      </c>
      <c r="B775" s="126" t="s">
        <v>1889</v>
      </c>
      <c r="C775" s="10">
        <v>2926.22</v>
      </c>
      <c r="D775" s="10">
        <v>5069.88</v>
      </c>
      <c r="E775" s="10">
        <v>5318.93</v>
      </c>
      <c r="F775" s="10">
        <v>4410.0600000000004</v>
      </c>
      <c r="G775" s="10">
        <v>2905.22</v>
      </c>
      <c r="H775" s="10">
        <v>3240</v>
      </c>
      <c r="I775" s="10">
        <v>3300</v>
      </c>
    </row>
    <row r="776" spans="1:9" x14ac:dyDescent="0.2">
      <c r="A776" s="245" t="s">
        <v>802</v>
      </c>
      <c r="B776" s="126" t="s">
        <v>1956</v>
      </c>
      <c r="C776" s="10">
        <v>5599.88</v>
      </c>
      <c r="D776" s="10">
        <v>6515.33</v>
      </c>
      <c r="E776" s="10">
        <v>5230.6400000000003</v>
      </c>
      <c r="F776" s="10">
        <v>2707.72</v>
      </c>
      <c r="G776" s="10">
        <v>2303.9699999999998</v>
      </c>
      <c r="H776" s="10">
        <v>2200</v>
      </c>
      <c r="I776" s="10">
        <v>10800</v>
      </c>
    </row>
    <row r="777" spans="1:9" x14ac:dyDescent="0.2">
      <c r="A777" s="245" t="s">
        <v>803</v>
      </c>
      <c r="B777" s="126" t="s">
        <v>1891</v>
      </c>
      <c r="C777" s="18">
        <v>66416.149999999994</v>
      </c>
      <c r="D777" s="18">
        <v>67925.27</v>
      </c>
      <c r="E777" s="18">
        <v>65497.96</v>
      </c>
      <c r="F777" s="18">
        <v>72459.12</v>
      </c>
      <c r="G777" s="18">
        <v>70188.09</v>
      </c>
      <c r="H777" s="10">
        <v>73860</v>
      </c>
      <c r="I777" s="10">
        <v>89649</v>
      </c>
    </row>
    <row r="778" spans="1:9" x14ac:dyDescent="0.2">
      <c r="A778" s="245" t="s">
        <v>804</v>
      </c>
      <c r="B778" s="126" t="s">
        <v>1892</v>
      </c>
      <c r="C778" s="18">
        <v>98903.74</v>
      </c>
      <c r="D778" s="18">
        <v>108565</v>
      </c>
      <c r="E778" s="18">
        <v>106378.92</v>
      </c>
      <c r="F778" s="18">
        <v>116127.7</v>
      </c>
      <c r="G778" s="18">
        <v>117626.06</v>
      </c>
      <c r="H778" s="10">
        <v>119987</v>
      </c>
      <c r="I778" s="10">
        <v>145899</v>
      </c>
    </row>
    <row r="779" spans="1:9" x14ac:dyDescent="0.2">
      <c r="A779" s="245" t="s">
        <v>805</v>
      </c>
      <c r="B779" s="126" t="s">
        <v>1893</v>
      </c>
      <c r="C779" s="18">
        <v>125756.59</v>
      </c>
      <c r="D779" s="18">
        <v>128430</v>
      </c>
      <c r="E779" s="18">
        <v>132742.70000000001</v>
      </c>
      <c r="F779" s="18">
        <v>124091.62</v>
      </c>
      <c r="G779" s="18">
        <v>98800</v>
      </c>
      <c r="H779" s="10">
        <v>181278</v>
      </c>
      <c r="I779" s="10">
        <v>163800</v>
      </c>
    </row>
    <row r="780" spans="1:9" x14ac:dyDescent="0.2">
      <c r="A780" s="245" t="s">
        <v>806</v>
      </c>
      <c r="B780" s="126" t="s">
        <v>1991</v>
      </c>
      <c r="C780" s="10">
        <v>3819.2</v>
      </c>
      <c r="D780" s="10">
        <v>4750.62</v>
      </c>
      <c r="E780" s="10">
        <v>0</v>
      </c>
      <c r="F780" s="10">
        <v>664.86</v>
      </c>
      <c r="G780" s="10">
        <v>2578.8000000000002</v>
      </c>
      <c r="H780" s="10">
        <v>9500</v>
      </c>
      <c r="I780" s="10">
        <v>9500</v>
      </c>
    </row>
    <row r="781" spans="1:9" x14ac:dyDescent="0.2">
      <c r="A781" s="245" t="s">
        <v>807</v>
      </c>
      <c r="B781" s="126" t="s">
        <v>1895</v>
      </c>
      <c r="C781" s="10">
        <v>2967.24</v>
      </c>
      <c r="D781" s="10">
        <v>4298.22</v>
      </c>
      <c r="E781" s="10">
        <v>2605.4299999999998</v>
      </c>
      <c r="F781" s="10">
        <v>997.95</v>
      </c>
      <c r="G781" s="10">
        <v>6326.1</v>
      </c>
      <c r="H781" s="10">
        <v>10640</v>
      </c>
      <c r="I781" s="10">
        <v>10640</v>
      </c>
    </row>
    <row r="782" spans="1:9" x14ac:dyDescent="0.2">
      <c r="A782" s="245" t="s">
        <v>808</v>
      </c>
      <c r="B782" s="126" t="s">
        <v>1896</v>
      </c>
      <c r="C782" s="10">
        <v>0</v>
      </c>
      <c r="D782" s="10">
        <v>0</v>
      </c>
      <c r="E782" s="10">
        <v>0</v>
      </c>
      <c r="F782" s="10">
        <v>0</v>
      </c>
      <c r="G782" s="10">
        <v>0</v>
      </c>
      <c r="H782" s="10">
        <v>100</v>
      </c>
      <c r="I782" s="10">
        <f t="shared" si="128"/>
        <v>100</v>
      </c>
    </row>
    <row r="783" spans="1:9" x14ac:dyDescent="0.2">
      <c r="A783" s="245" t="s">
        <v>809</v>
      </c>
      <c r="B783" s="126" t="s">
        <v>2024</v>
      </c>
      <c r="C783" s="18">
        <v>61563.54</v>
      </c>
      <c r="D783" s="18">
        <v>54820.15</v>
      </c>
      <c r="E783" s="18">
        <v>59141.97</v>
      </c>
      <c r="F783" s="18">
        <v>78158.929999999993</v>
      </c>
      <c r="G783" s="18">
        <v>90599.77</v>
      </c>
      <c r="H783" s="10">
        <v>72800</v>
      </c>
      <c r="I783" s="10">
        <v>72800</v>
      </c>
    </row>
    <row r="784" spans="1:9" x14ac:dyDescent="0.2">
      <c r="A784" s="245" t="s">
        <v>810</v>
      </c>
      <c r="B784" s="126" t="s">
        <v>2025</v>
      </c>
      <c r="C784" s="18">
        <v>175320.73</v>
      </c>
      <c r="D784" s="18">
        <v>194479.71</v>
      </c>
      <c r="E784" s="18">
        <v>173823.11</v>
      </c>
      <c r="F784" s="18">
        <v>196761.52</v>
      </c>
      <c r="G784" s="18">
        <v>234766.78</v>
      </c>
      <c r="H784" s="10">
        <v>247470</v>
      </c>
      <c r="I784" s="10">
        <v>267000</v>
      </c>
    </row>
    <row r="785" spans="1:9" x14ac:dyDescent="0.2">
      <c r="A785" s="245" t="s">
        <v>811</v>
      </c>
      <c r="B785" s="126" t="s">
        <v>2026</v>
      </c>
      <c r="C785" s="18">
        <v>3264.71</v>
      </c>
      <c r="D785" s="18">
        <v>2496.2199999999998</v>
      </c>
      <c r="E785" s="18">
        <v>3764.76</v>
      </c>
      <c r="F785" s="18">
        <v>4114.5</v>
      </c>
      <c r="G785" s="18">
        <v>1349.78</v>
      </c>
      <c r="H785" s="10">
        <v>4000</v>
      </c>
      <c r="I785" s="10">
        <f t="shared" si="128"/>
        <v>4000</v>
      </c>
    </row>
    <row r="786" spans="1:9" x14ac:dyDescent="0.2">
      <c r="A786" s="245" t="s">
        <v>812</v>
      </c>
      <c r="B786" s="126" t="s">
        <v>2011</v>
      </c>
      <c r="C786" s="18">
        <v>0</v>
      </c>
      <c r="D786" s="18">
        <v>0</v>
      </c>
      <c r="E786" s="18">
        <v>0</v>
      </c>
      <c r="F786" s="18">
        <v>0</v>
      </c>
      <c r="G786" s="18">
        <v>0</v>
      </c>
      <c r="H786" s="10">
        <v>300</v>
      </c>
      <c r="I786" s="10">
        <f t="shared" si="128"/>
        <v>300</v>
      </c>
    </row>
    <row r="787" spans="1:9" x14ac:dyDescent="0.2">
      <c r="A787" s="245" t="s">
        <v>87</v>
      </c>
      <c r="B787" s="126" t="s">
        <v>1897</v>
      </c>
      <c r="C787" s="18">
        <v>720</v>
      </c>
      <c r="D787" s="18">
        <v>720</v>
      </c>
      <c r="E787" s="18">
        <v>720</v>
      </c>
      <c r="F787" s="18">
        <v>700</v>
      </c>
      <c r="G787" s="18">
        <v>880</v>
      </c>
      <c r="H787" s="10">
        <v>960</v>
      </c>
      <c r="I787" s="10">
        <v>960</v>
      </c>
    </row>
    <row r="788" spans="1:9" x14ac:dyDescent="0.2">
      <c r="A788" s="245" t="s">
        <v>1490</v>
      </c>
      <c r="B788" s="126" t="s">
        <v>1993</v>
      </c>
      <c r="C788" s="18">
        <v>156229.29</v>
      </c>
      <c r="D788" s="18">
        <v>132021.71</v>
      </c>
      <c r="E788" s="18">
        <v>126117.27</v>
      </c>
      <c r="F788" s="18">
        <v>147656.01999999999</v>
      </c>
      <c r="G788" s="18">
        <v>163055.47</v>
      </c>
      <c r="H788" s="10">
        <v>155000</v>
      </c>
      <c r="I788" s="10">
        <v>170000</v>
      </c>
    </row>
    <row r="789" spans="1:9" x14ac:dyDescent="0.2">
      <c r="A789" s="248" t="s">
        <v>2553</v>
      </c>
      <c r="B789" s="126" t="s">
        <v>1971</v>
      </c>
      <c r="C789" s="18">
        <v>0</v>
      </c>
      <c r="D789" s="18">
        <v>0</v>
      </c>
      <c r="E789" s="18">
        <v>0</v>
      </c>
      <c r="F789" s="18">
        <v>0</v>
      </c>
      <c r="G789" s="18">
        <v>260</v>
      </c>
      <c r="H789" s="10">
        <v>0</v>
      </c>
      <c r="I789" s="10">
        <v>5000</v>
      </c>
    </row>
    <row r="790" spans="1:9" x14ac:dyDescent="0.2">
      <c r="A790" s="245" t="s">
        <v>813</v>
      </c>
      <c r="B790" s="126" t="s">
        <v>1903</v>
      </c>
      <c r="C790" s="18">
        <v>42398.89</v>
      </c>
      <c r="D790" s="18">
        <v>42736.38</v>
      </c>
      <c r="E790" s="18">
        <v>31868.44</v>
      </c>
      <c r="F790" s="18">
        <v>33184.959999999999</v>
      </c>
      <c r="G790" s="18">
        <v>32960.519999999997</v>
      </c>
      <c r="H790" s="10">
        <v>40000</v>
      </c>
      <c r="I790" s="10">
        <f t="shared" si="128"/>
        <v>40000</v>
      </c>
    </row>
    <row r="791" spans="1:9" x14ac:dyDescent="0.2">
      <c r="A791" s="245" t="s">
        <v>814</v>
      </c>
      <c r="B791" s="126" t="s">
        <v>1900</v>
      </c>
      <c r="C791" s="18">
        <v>3932.24</v>
      </c>
      <c r="D791" s="18">
        <v>8624.81</v>
      </c>
      <c r="E791" s="18">
        <v>3713.55</v>
      </c>
      <c r="F791" s="18">
        <v>8526.58</v>
      </c>
      <c r="G791" s="18">
        <v>13916.78</v>
      </c>
      <c r="H791" s="10">
        <v>28387.53</v>
      </c>
      <c r="I791" s="10">
        <v>17000</v>
      </c>
    </row>
    <row r="792" spans="1:9" x14ac:dyDescent="0.2">
      <c r="A792" s="245" t="s">
        <v>835</v>
      </c>
      <c r="B792" s="126" t="s">
        <v>2019</v>
      </c>
      <c r="C792" s="18">
        <v>1500.1</v>
      </c>
      <c r="D792" s="18">
        <v>0</v>
      </c>
      <c r="E792" s="18">
        <v>0</v>
      </c>
      <c r="F792" s="18">
        <v>99</v>
      </c>
      <c r="G792" s="18">
        <v>0</v>
      </c>
      <c r="H792" s="10">
        <v>2000</v>
      </c>
      <c r="I792" s="10">
        <f t="shared" si="128"/>
        <v>2000</v>
      </c>
    </row>
    <row r="793" spans="1:9" ht="12.75" customHeight="1" x14ac:dyDescent="0.2">
      <c r="A793" s="245" t="s">
        <v>815</v>
      </c>
      <c r="B793" s="126" t="s">
        <v>2027</v>
      </c>
      <c r="C793" s="18">
        <v>11495.88</v>
      </c>
      <c r="D793" s="18">
        <v>-627.66</v>
      </c>
      <c r="E793" s="18">
        <v>23919.3</v>
      </c>
      <c r="F793" s="18">
        <v>58533.82</v>
      </c>
      <c r="G793" s="18">
        <v>14617.5</v>
      </c>
      <c r="H793" s="10">
        <v>0</v>
      </c>
      <c r="I793" s="10">
        <f t="shared" si="128"/>
        <v>0</v>
      </c>
    </row>
    <row r="794" spans="1:9" ht="12.75" customHeight="1" x14ac:dyDescent="0.2">
      <c r="A794" s="245"/>
      <c r="B794" s="6" t="s">
        <v>1118</v>
      </c>
      <c r="C794" s="38">
        <f t="shared" ref="C794:G794" si="129">SUM(C771:C793)</f>
        <v>1669162.08</v>
      </c>
      <c r="D794" s="38">
        <f t="shared" si="129"/>
        <v>1670641.7499999998</v>
      </c>
      <c r="E794" s="38">
        <f t="shared" si="129"/>
        <v>1615230.7299999997</v>
      </c>
      <c r="F794" s="38">
        <f t="shared" si="129"/>
        <v>1824701.1800000002</v>
      </c>
      <c r="G794" s="38">
        <f t="shared" si="129"/>
        <v>1789190.9100000001</v>
      </c>
      <c r="H794" s="38">
        <f t="shared" ref="H794:I794" si="130">SUM(H771:H793)</f>
        <v>1910807.53</v>
      </c>
      <c r="I794" s="38">
        <f t="shared" si="130"/>
        <v>2169565</v>
      </c>
    </row>
    <row r="795" spans="1:9" x14ac:dyDescent="0.2">
      <c r="C795" s="10"/>
      <c r="E795" s="10"/>
      <c r="G795" s="10"/>
      <c r="H795" s="10"/>
      <c r="I795" s="10"/>
    </row>
    <row r="796" spans="1:9" x14ac:dyDescent="0.2">
      <c r="A796" s="251" t="s">
        <v>1290</v>
      </c>
      <c r="B796" s="4" t="s">
        <v>622</v>
      </c>
      <c r="C796" s="10"/>
      <c r="E796" s="10"/>
      <c r="G796" s="10"/>
      <c r="H796" s="10"/>
      <c r="I796" s="10"/>
    </row>
    <row r="797" spans="1:9" x14ac:dyDescent="0.2">
      <c r="A797" s="245" t="s">
        <v>1091</v>
      </c>
      <c r="B797" s="126" t="s">
        <v>2021</v>
      </c>
      <c r="C797" s="10">
        <v>39153.129999999997</v>
      </c>
      <c r="D797" s="10">
        <v>44541.81</v>
      </c>
      <c r="E797" s="10">
        <v>20779.900000000001</v>
      </c>
      <c r="F797" s="10">
        <v>12779</v>
      </c>
      <c r="G797" s="10">
        <v>10665.82</v>
      </c>
      <c r="H797" s="10">
        <v>75000</v>
      </c>
      <c r="I797" s="10">
        <v>75000</v>
      </c>
    </row>
    <row r="798" spans="1:9" x14ac:dyDescent="0.2">
      <c r="A798" s="245" t="s">
        <v>1090</v>
      </c>
      <c r="B798" s="126" t="s">
        <v>2023</v>
      </c>
      <c r="C798" s="18">
        <v>793995.02</v>
      </c>
      <c r="D798" s="18">
        <v>788771.44</v>
      </c>
      <c r="E798" s="18">
        <v>891031.46</v>
      </c>
      <c r="F798" s="18">
        <v>960239.06</v>
      </c>
      <c r="G798" s="18">
        <v>884877.03</v>
      </c>
      <c r="H798" s="10">
        <v>974339</v>
      </c>
      <c r="I798" s="10">
        <f>1145868-I797</f>
        <v>1070868</v>
      </c>
    </row>
    <row r="799" spans="1:9" x14ac:dyDescent="0.2">
      <c r="A799" s="245" t="s">
        <v>2637</v>
      </c>
      <c r="B799" s="126" t="s">
        <v>2634</v>
      </c>
      <c r="C799" s="17">
        <v>0</v>
      </c>
      <c r="D799" s="17">
        <v>0</v>
      </c>
      <c r="E799" s="17">
        <v>0</v>
      </c>
      <c r="F799" s="17">
        <v>0</v>
      </c>
      <c r="G799" s="17">
        <v>0</v>
      </c>
      <c r="H799" s="10">
        <v>0</v>
      </c>
      <c r="I799" s="10">
        <v>166000</v>
      </c>
    </row>
    <row r="800" spans="1:9" x14ac:dyDescent="0.2">
      <c r="A800" s="245" t="s">
        <v>1092</v>
      </c>
      <c r="B800" s="126" t="s">
        <v>1889</v>
      </c>
      <c r="C800" s="10">
        <v>4892.2700000000004</v>
      </c>
      <c r="D800" s="10">
        <v>6249.06</v>
      </c>
      <c r="E800" s="10">
        <v>6290.48</v>
      </c>
      <c r="F800" s="10">
        <v>6583.52</v>
      </c>
      <c r="G800" s="18">
        <v>6542.34</v>
      </c>
      <c r="H800" s="10">
        <v>6060</v>
      </c>
      <c r="I800" s="10">
        <v>6420</v>
      </c>
    </row>
    <row r="801" spans="1:9" x14ac:dyDescent="0.2">
      <c r="A801" s="245" t="s">
        <v>1093</v>
      </c>
      <c r="B801" s="126" t="s">
        <v>1956</v>
      </c>
      <c r="C801" s="10">
        <v>8707.68</v>
      </c>
      <c r="D801" s="10">
        <v>5830.74</v>
      </c>
      <c r="E801" s="10">
        <v>5707.62</v>
      </c>
      <c r="F801" s="10">
        <v>6030.53</v>
      </c>
      <c r="G801" s="10">
        <v>4076.76</v>
      </c>
      <c r="H801" s="10">
        <v>4000</v>
      </c>
      <c r="I801" s="10">
        <v>9800</v>
      </c>
    </row>
    <row r="802" spans="1:9" x14ac:dyDescent="0.2">
      <c r="A802" s="245" t="s">
        <v>1094</v>
      </c>
      <c r="B802" s="126" t="s">
        <v>1891</v>
      </c>
      <c r="C802" s="18">
        <v>64106.32</v>
      </c>
      <c r="D802" s="18">
        <v>62943.15</v>
      </c>
      <c r="E802" s="18">
        <v>69058.62</v>
      </c>
      <c r="F802" s="18">
        <v>73266.070000000007</v>
      </c>
      <c r="G802" s="18">
        <v>67155.63</v>
      </c>
      <c r="H802" s="10">
        <v>81117</v>
      </c>
      <c r="I802" s="10">
        <v>101672</v>
      </c>
    </row>
    <row r="803" spans="1:9" x14ac:dyDescent="0.2">
      <c r="A803" s="245" t="s">
        <v>1095</v>
      </c>
      <c r="B803" s="126" t="s">
        <v>1892</v>
      </c>
      <c r="C803" s="18">
        <v>100777.01</v>
      </c>
      <c r="D803" s="18">
        <v>100471.33</v>
      </c>
      <c r="E803" s="18">
        <v>114041.2</v>
      </c>
      <c r="F803" s="18">
        <v>120724.62</v>
      </c>
      <c r="G803" s="18">
        <v>113269.97</v>
      </c>
      <c r="H803" s="10">
        <v>131789</v>
      </c>
      <c r="I803" s="10">
        <v>165466</v>
      </c>
    </row>
    <row r="804" spans="1:9" x14ac:dyDescent="0.2">
      <c r="A804" s="245" t="s">
        <v>1096</v>
      </c>
      <c r="B804" s="126" t="s">
        <v>1893</v>
      </c>
      <c r="C804" s="18">
        <v>121323.41</v>
      </c>
      <c r="D804" s="18">
        <v>132532.29999999999</v>
      </c>
      <c r="E804" s="18">
        <v>151957.29999999999</v>
      </c>
      <c r="F804" s="18">
        <v>125403.7</v>
      </c>
      <c r="G804" s="18">
        <v>109850</v>
      </c>
      <c r="H804" s="10">
        <v>189234</v>
      </c>
      <c r="I804" s="10">
        <v>187200</v>
      </c>
    </row>
    <row r="805" spans="1:9" x14ac:dyDescent="0.2">
      <c r="A805" s="245" t="s">
        <v>1097</v>
      </c>
      <c r="B805" s="126" t="s">
        <v>1991</v>
      </c>
      <c r="C805" s="10">
        <v>2074.38</v>
      </c>
      <c r="D805" s="10">
        <v>3560.73</v>
      </c>
      <c r="E805" s="10">
        <v>1892.73</v>
      </c>
      <c r="F805" s="10">
        <v>887.5</v>
      </c>
      <c r="G805" s="10">
        <v>7219.27</v>
      </c>
      <c r="H805" s="10">
        <v>9500</v>
      </c>
      <c r="I805" s="10">
        <v>9500</v>
      </c>
    </row>
    <row r="806" spans="1:9" x14ac:dyDescent="0.2">
      <c r="A806" s="245" t="s">
        <v>1098</v>
      </c>
      <c r="B806" s="126" t="s">
        <v>1895</v>
      </c>
      <c r="C806" s="10">
        <v>7558.71</v>
      </c>
      <c r="D806" s="10">
        <v>8189.02</v>
      </c>
      <c r="E806" s="10">
        <v>6436.85</v>
      </c>
      <c r="F806" s="10">
        <v>7298.44</v>
      </c>
      <c r="G806" s="10">
        <v>9598.5</v>
      </c>
      <c r="H806" s="10">
        <v>8025</v>
      </c>
      <c r="I806" s="10">
        <f t="shared" ref="I806:I821" si="131">+H806</f>
        <v>8025</v>
      </c>
    </row>
    <row r="807" spans="1:9" x14ac:dyDescent="0.2">
      <c r="A807" s="245" t="s">
        <v>1099</v>
      </c>
      <c r="B807" s="126" t="s">
        <v>1896</v>
      </c>
      <c r="C807" s="10">
        <v>0</v>
      </c>
      <c r="D807" s="10">
        <v>0</v>
      </c>
      <c r="E807" s="10">
        <v>0</v>
      </c>
      <c r="F807" s="10">
        <v>0</v>
      </c>
      <c r="G807" s="10">
        <v>0</v>
      </c>
      <c r="H807" s="10">
        <v>100</v>
      </c>
      <c r="I807" s="10">
        <f t="shared" si="131"/>
        <v>100</v>
      </c>
    </row>
    <row r="808" spans="1:9" x14ac:dyDescent="0.2">
      <c r="A808" s="245" t="s">
        <v>368</v>
      </c>
      <c r="B808" s="126" t="s">
        <v>2024</v>
      </c>
      <c r="C808" s="18">
        <v>60302.87</v>
      </c>
      <c r="D808" s="18">
        <v>62005</v>
      </c>
      <c r="E808" s="18">
        <v>59301.279999999999</v>
      </c>
      <c r="F808" s="18">
        <v>73957.45</v>
      </c>
      <c r="G808" s="18">
        <v>78614.59</v>
      </c>
      <c r="H808" s="10">
        <v>84000</v>
      </c>
      <c r="I808" s="10">
        <v>84000</v>
      </c>
    </row>
    <row r="809" spans="1:9" x14ac:dyDescent="0.2">
      <c r="A809" s="245" t="s">
        <v>1100</v>
      </c>
      <c r="B809" s="126" t="s">
        <v>2025</v>
      </c>
      <c r="C809" s="18">
        <v>118219.37</v>
      </c>
      <c r="D809" s="18">
        <v>129213.56</v>
      </c>
      <c r="E809" s="18">
        <v>126395.4</v>
      </c>
      <c r="F809" s="18">
        <v>129555.62</v>
      </c>
      <c r="G809" s="18">
        <v>138980.44</v>
      </c>
      <c r="H809" s="10">
        <v>134871</v>
      </c>
      <c r="I809" s="10">
        <v>146000</v>
      </c>
    </row>
    <row r="810" spans="1:9" x14ac:dyDescent="0.2">
      <c r="A810" s="245" t="s">
        <v>1101</v>
      </c>
      <c r="B810" s="126" t="s">
        <v>2026</v>
      </c>
      <c r="C810" s="18">
        <v>8707.1200000000008</v>
      </c>
      <c r="D810" s="18">
        <v>8957.4</v>
      </c>
      <c r="E810" s="18">
        <v>9589.7800000000007</v>
      </c>
      <c r="F810" s="18">
        <v>12409.56</v>
      </c>
      <c r="G810" s="18">
        <v>2383.6799999999998</v>
      </c>
      <c r="H810" s="10">
        <v>9000</v>
      </c>
      <c r="I810" s="10">
        <f t="shared" si="131"/>
        <v>9000</v>
      </c>
    </row>
    <row r="811" spans="1:9" x14ac:dyDescent="0.2">
      <c r="A811" s="245" t="s">
        <v>1102</v>
      </c>
      <c r="B811" s="126" t="s">
        <v>2011</v>
      </c>
      <c r="C811" s="18">
        <v>1096.47</v>
      </c>
      <c r="D811" s="18">
        <v>0</v>
      </c>
      <c r="E811" s="18">
        <v>0</v>
      </c>
      <c r="F811" s="18">
        <v>0</v>
      </c>
      <c r="G811" s="18">
        <v>0</v>
      </c>
      <c r="H811" s="10">
        <v>1200</v>
      </c>
      <c r="I811" s="10">
        <v>1200</v>
      </c>
    </row>
    <row r="812" spans="1:9" x14ac:dyDescent="0.2">
      <c r="A812" s="247" t="s">
        <v>1377</v>
      </c>
      <c r="B812" s="126" t="s">
        <v>1897</v>
      </c>
      <c r="C812" s="18">
        <v>1080</v>
      </c>
      <c r="D812" s="18">
        <v>720</v>
      </c>
      <c r="E812" s="18">
        <v>760</v>
      </c>
      <c r="F812" s="18">
        <v>1120</v>
      </c>
      <c r="G812" s="18">
        <v>920</v>
      </c>
      <c r="H812" s="10">
        <v>960</v>
      </c>
      <c r="I812" s="10">
        <v>960</v>
      </c>
    </row>
    <row r="813" spans="1:9" x14ac:dyDescent="0.2">
      <c r="A813" s="245" t="s">
        <v>820</v>
      </c>
      <c r="B813" s="126" t="s">
        <v>1898</v>
      </c>
      <c r="C813" s="18">
        <v>0</v>
      </c>
      <c r="D813" s="18">
        <v>0</v>
      </c>
      <c r="E813" s="18">
        <v>0</v>
      </c>
      <c r="F813" s="18">
        <v>749.33</v>
      </c>
      <c r="G813" s="18">
        <v>649.85</v>
      </c>
      <c r="H813" s="10">
        <v>5000</v>
      </c>
      <c r="I813" s="10">
        <v>5000</v>
      </c>
    </row>
    <row r="814" spans="1:9" x14ac:dyDescent="0.2">
      <c r="A814" s="245" t="s">
        <v>1491</v>
      </c>
      <c r="B814" s="126" t="s">
        <v>1993</v>
      </c>
      <c r="C814" s="18">
        <v>85570.97</v>
      </c>
      <c r="D814" s="18">
        <v>93971.82</v>
      </c>
      <c r="E814" s="18">
        <v>86394.42</v>
      </c>
      <c r="F814" s="18">
        <v>88656.92</v>
      </c>
      <c r="G814" s="18">
        <v>101761.75</v>
      </c>
      <c r="H814" s="10">
        <v>90000</v>
      </c>
      <c r="I814" s="10">
        <v>115000</v>
      </c>
    </row>
    <row r="815" spans="1:9" x14ac:dyDescent="0.2">
      <c r="A815" s="245" t="s">
        <v>1338</v>
      </c>
      <c r="B815" s="126" t="s">
        <v>2028</v>
      </c>
      <c r="C815" s="18">
        <v>0</v>
      </c>
      <c r="D815" s="18">
        <v>360</v>
      </c>
      <c r="E815" s="18">
        <v>0</v>
      </c>
      <c r="F815" s="18">
        <v>605</v>
      </c>
      <c r="G815" s="18">
        <v>0</v>
      </c>
      <c r="H815" s="10">
        <v>0</v>
      </c>
      <c r="I815" s="10">
        <v>325</v>
      </c>
    </row>
    <row r="816" spans="1:9" x14ac:dyDescent="0.2">
      <c r="A816" s="245" t="s">
        <v>763</v>
      </c>
      <c r="B816" s="126" t="s">
        <v>1971</v>
      </c>
      <c r="C816" s="18">
        <v>1366.61</v>
      </c>
      <c r="D816" s="18">
        <v>3892.66</v>
      </c>
      <c r="E816" s="18">
        <v>3879.79</v>
      </c>
      <c r="F816" s="18">
        <v>2036.61</v>
      </c>
      <c r="G816" s="18">
        <v>621.02</v>
      </c>
      <c r="H816" s="10">
        <v>5000</v>
      </c>
      <c r="I816" s="10">
        <f t="shared" si="131"/>
        <v>5000</v>
      </c>
    </row>
    <row r="817" spans="1:9" x14ac:dyDescent="0.2">
      <c r="A817" s="245" t="s">
        <v>1103</v>
      </c>
      <c r="B817" s="126" t="s">
        <v>1903</v>
      </c>
      <c r="C817" s="18">
        <v>35038.720000000001</v>
      </c>
      <c r="D817" s="18">
        <v>37258.06</v>
      </c>
      <c r="E817" s="18">
        <v>23086.23</v>
      </c>
      <c r="F817" s="18">
        <v>23242.720000000001</v>
      </c>
      <c r="G817" s="18">
        <v>27692.58</v>
      </c>
      <c r="H817" s="10">
        <v>35000</v>
      </c>
      <c r="I817" s="10">
        <f t="shared" si="131"/>
        <v>35000</v>
      </c>
    </row>
    <row r="818" spans="1:9" x14ac:dyDescent="0.2">
      <c r="A818" s="245" t="s">
        <v>764</v>
      </c>
      <c r="B818" s="126" t="s">
        <v>2029</v>
      </c>
      <c r="C818" s="18">
        <v>2847.9</v>
      </c>
      <c r="D818" s="18">
        <v>343</v>
      </c>
      <c r="E818" s="18">
        <v>889.62</v>
      </c>
      <c r="F818" s="18">
        <v>0</v>
      </c>
      <c r="G818" s="18">
        <v>20</v>
      </c>
      <c r="H818" s="10">
        <v>3500</v>
      </c>
      <c r="I818" s="10">
        <f t="shared" si="131"/>
        <v>3500</v>
      </c>
    </row>
    <row r="819" spans="1:9" x14ac:dyDescent="0.2">
      <c r="A819" s="245" t="s">
        <v>1105</v>
      </c>
      <c r="B819" s="126" t="s">
        <v>2030</v>
      </c>
      <c r="C819" s="18">
        <v>0</v>
      </c>
      <c r="D819" s="18">
        <v>0</v>
      </c>
      <c r="E819" s="18">
        <v>0</v>
      </c>
      <c r="F819" s="18">
        <v>0</v>
      </c>
      <c r="G819" s="18">
        <v>0</v>
      </c>
      <c r="H819" s="10">
        <v>0</v>
      </c>
      <c r="I819" s="10">
        <f t="shared" si="131"/>
        <v>0</v>
      </c>
    </row>
    <row r="820" spans="1:9" x14ac:dyDescent="0.2">
      <c r="A820" s="245" t="s">
        <v>1104</v>
      </c>
      <c r="B820" s="126" t="s">
        <v>1900</v>
      </c>
      <c r="C820" s="18">
        <v>30335.09</v>
      </c>
      <c r="D820" s="18">
        <v>24913.74</v>
      </c>
      <c r="E820" s="18">
        <v>27580.28</v>
      </c>
      <c r="F820" s="18">
        <v>22470.44</v>
      </c>
      <c r="G820" s="18">
        <v>13557.29</v>
      </c>
      <c r="H820" s="10">
        <v>27300</v>
      </c>
      <c r="I820" s="10">
        <v>21000</v>
      </c>
    </row>
    <row r="821" spans="1:9" x14ac:dyDescent="0.2">
      <c r="A821" s="245" t="s">
        <v>1023</v>
      </c>
      <c r="B821" s="126" t="s">
        <v>2000</v>
      </c>
      <c r="C821" s="18">
        <v>0</v>
      </c>
      <c r="D821" s="18">
        <v>0</v>
      </c>
      <c r="E821" s="18">
        <v>0</v>
      </c>
      <c r="F821" s="18">
        <v>0</v>
      </c>
      <c r="G821" s="18">
        <v>0</v>
      </c>
      <c r="H821" s="10">
        <v>0</v>
      </c>
      <c r="I821" s="10">
        <f t="shared" si="131"/>
        <v>0</v>
      </c>
    </row>
    <row r="822" spans="1:9" x14ac:dyDescent="0.2">
      <c r="A822" s="245" t="s">
        <v>2317</v>
      </c>
      <c r="B822" s="126" t="s">
        <v>2301</v>
      </c>
      <c r="C822" s="18">
        <v>0</v>
      </c>
      <c r="D822" s="18">
        <v>0</v>
      </c>
      <c r="E822" s="18">
        <v>0</v>
      </c>
      <c r="F822" s="18">
        <v>4611.97</v>
      </c>
      <c r="G822" s="18">
        <v>6972.72</v>
      </c>
      <c r="H822" s="10">
        <v>12688.68</v>
      </c>
      <c r="I822" s="10">
        <v>12366.77</v>
      </c>
    </row>
    <row r="823" spans="1:9" x14ac:dyDescent="0.2">
      <c r="A823" s="245" t="s">
        <v>1106</v>
      </c>
      <c r="B823" s="126" t="s">
        <v>2027</v>
      </c>
      <c r="C823" s="18">
        <v>86933.99</v>
      </c>
      <c r="D823" s="18">
        <v>133197.54999999999</v>
      </c>
      <c r="E823" s="18">
        <v>197317.81</v>
      </c>
      <c r="F823" s="18">
        <v>297203.03000000003</v>
      </c>
      <c r="G823" s="18">
        <v>538823.63</v>
      </c>
      <c r="H823" s="10">
        <v>490477</v>
      </c>
      <c r="I823" s="10">
        <v>506000</v>
      </c>
    </row>
    <row r="824" spans="1:9" x14ac:dyDescent="0.2">
      <c r="A824" s="245"/>
      <c r="B824" s="6" t="s">
        <v>1118</v>
      </c>
      <c r="C824" s="38">
        <f t="shared" ref="C824:F824" si="132">SUM(C797:C823)</f>
        <v>1574087.04</v>
      </c>
      <c r="D824" s="38">
        <f t="shared" si="132"/>
        <v>1647922.37</v>
      </c>
      <c r="E824" s="38">
        <f t="shared" si="132"/>
        <v>1802390.7700000003</v>
      </c>
      <c r="F824" s="38">
        <f t="shared" si="132"/>
        <v>1969831.0900000003</v>
      </c>
      <c r="G824" s="38">
        <f t="shared" ref="G824:H824" si="133">SUM(G797:G823)</f>
        <v>2124252.87</v>
      </c>
      <c r="H824" s="38">
        <f t="shared" si="133"/>
        <v>2378160.6799999997</v>
      </c>
      <c r="I824" s="38">
        <f t="shared" ref="I824" si="134">SUM(I797:I823)</f>
        <v>2744402.77</v>
      </c>
    </row>
    <row r="825" spans="1:9" x14ac:dyDescent="0.2">
      <c r="A825" s="245"/>
      <c r="B825" s="4" t="s">
        <v>653</v>
      </c>
      <c r="C825" s="112" t="s">
        <v>1433</v>
      </c>
      <c r="D825" s="112"/>
      <c r="E825" s="112" t="s">
        <v>1433</v>
      </c>
      <c r="F825" s="112" t="s">
        <v>1433</v>
      </c>
      <c r="G825" s="222" t="s">
        <v>1433</v>
      </c>
      <c r="H825" s="112" t="s">
        <v>1433</v>
      </c>
      <c r="I825" s="112" t="s">
        <v>1433</v>
      </c>
    </row>
    <row r="826" spans="1:9" x14ac:dyDescent="0.2">
      <c r="A826" s="245"/>
      <c r="B826" s="4" t="s">
        <v>980</v>
      </c>
      <c r="C826" s="112" t="s">
        <v>1433</v>
      </c>
      <c r="D826" s="112"/>
      <c r="E826" s="112" t="s">
        <v>1433</v>
      </c>
      <c r="F826" s="112" t="s">
        <v>1433</v>
      </c>
      <c r="G826" s="222" t="s">
        <v>1433</v>
      </c>
      <c r="H826" s="112" t="s">
        <v>1433</v>
      </c>
      <c r="I826" s="112" t="s">
        <v>1433</v>
      </c>
    </row>
    <row r="827" spans="1:9" x14ac:dyDescent="0.2">
      <c r="A827" s="245"/>
      <c r="B827" s="4" t="s">
        <v>138</v>
      </c>
      <c r="C827" s="112" t="s">
        <v>1433</v>
      </c>
      <c r="D827" s="112" t="s">
        <v>1433</v>
      </c>
      <c r="E827" s="112" t="s">
        <v>1433</v>
      </c>
      <c r="F827" s="112" t="s">
        <v>1433</v>
      </c>
      <c r="G827" s="222" t="s">
        <v>1433</v>
      </c>
      <c r="H827" s="112" t="s">
        <v>1433</v>
      </c>
      <c r="I827" s="112" t="s">
        <v>1433</v>
      </c>
    </row>
    <row r="828" spans="1:9" x14ac:dyDescent="0.2">
      <c r="A828" s="245"/>
      <c r="C828" s="129" t="str">
        <f>+$C$4</f>
        <v>2018 ACTUAL</v>
      </c>
      <c r="D828" s="129" t="str">
        <f t="shared" ref="D828:I828" si="135">+D$4</f>
        <v>2019 ACTUAL</v>
      </c>
      <c r="E828" s="129" t="str">
        <f t="shared" si="135"/>
        <v>2020 ACTUAL</v>
      </c>
      <c r="F828" s="129" t="str">
        <f t="shared" si="135"/>
        <v>2021 ACTUAL</v>
      </c>
      <c r="G828" s="223" t="str">
        <f t="shared" si="135"/>
        <v>2022 ACTUAL</v>
      </c>
      <c r="H828" s="129" t="str">
        <f t="shared" si="135"/>
        <v xml:space="preserve">2023 BUDGET </v>
      </c>
      <c r="I828" s="129" t="str">
        <f t="shared" si="135"/>
        <v xml:space="preserve">2024 BUDGET </v>
      </c>
    </row>
    <row r="829" spans="1:9" x14ac:dyDescent="0.2">
      <c r="A829" s="251" t="s">
        <v>1107</v>
      </c>
      <c r="B829" s="4" t="s">
        <v>311</v>
      </c>
      <c r="C829" s="10"/>
      <c r="E829" s="10"/>
      <c r="G829" s="115"/>
      <c r="H829" s="10"/>
      <c r="I829" s="10"/>
    </row>
    <row r="830" spans="1:9" x14ac:dyDescent="0.2">
      <c r="A830" s="245" t="s">
        <v>1108</v>
      </c>
      <c r="B830" s="126" t="s">
        <v>1905</v>
      </c>
      <c r="C830" s="10">
        <v>43852.12</v>
      </c>
      <c r="D830" s="10">
        <v>44652.14</v>
      </c>
      <c r="E830" s="10">
        <v>45449.08</v>
      </c>
      <c r="F830" s="10">
        <v>47667.88</v>
      </c>
      <c r="G830" s="10">
        <v>49812.42</v>
      </c>
      <c r="H830" s="10">
        <v>50068</v>
      </c>
      <c r="I830" s="10">
        <v>52571</v>
      </c>
    </row>
    <row r="831" spans="1:9" x14ac:dyDescent="0.2">
      <c r="A831" s="245" t="s">
        <v>1109</v>
      </c>
      <c r="B831" s="126" t="s">
        <v>1904</v>
      </c>
      <c r="C831" s="10">
        <v>26822.12</v>
      </c>
      <c r="D831" s="10">
        <v>27622.14</v>
      </c>
      <c r="E831" s="10">
        <v>29006.75</v>
      </c>
      <c r="F831" s="10">
        <v>30212</v>
      </c>
      <c r="G831" s="10">
        <v>38635.42</v>
      </c>
      <c r="H831" s="10">
        <v>32612</v>
      </c>
      <c r="I831" s="10">
        <v>32428</v>
      </c>
    </row>
    <row r="832" spans="1:9" x14ac:dyDescent="0.2">
      <c r="A832" s="245" t="s">
        <v>2539</v>
      </c>
      <c r="B832" s="126" t="s">
        <v>2525</v>
      </c>
      <c r="C832" s="10">
        <v>0</v>
      </c>
      <c r="D832" s="10">
        <v>0</v>
      </c>
      <c r="E832" s="10">
        <v>0</v>
      </c>
      <c r="F832" s="10">
        <v>0</v>
      </c>
      <c r="G832" s="10">
        <v>0</v>
      </c>
      <c r="H832" s="10">
        <v>700</v>
      </c>
      <c r="I832" s="10">
        <v>700</v>
      </c>
    </row>
    <row r="833" spans="1:9" x14ac:dyDescent="0.2">
      <c r="A833" s="245" t="s">
        <v>1110</v>
      </c>
      <c r="B833" s="126" t="s">
        <v>1889</v>
      </c>
      <c r="C833" s="10">
        <v>1497.63</v>
      </c>
      <c r="D833" s="10">
        <v>2307.69</v>
      </c>
      <c r="E833" s="10">
        <v>2397.75</v>
      </c>
      <c r="F833" s="10">
        <v>2457.56</v>
      </c>
      <c r="G833" s="10">
        <v>2457.61</v>
      </c>
      <c r="H833" s="10">
        <v>1680</v>
      </c>
      <c r="I833" s="10">
        <v>1740</v>
      </c>
    </row>
    <row r="834" spans="1:9" x14ac:dyDescent="0.2">
      <c r="A834" s="245" t="s">
        <v>1111</v>
      </c>
      <c r="B834" s="126" t="s">
        <v>1891</v>
      </c>
      <c r="C834" s="10">
        <v>4825.6400000000003</v>
      </c>
      <c r="D834" s="10">
        <v>4964.5600000000004</v>
      </c>
      <c r="E834" s="10">
        <v>5130.24</v>
      </c>
      <c r="F834" s="10">
        <v>5398.28</v>
      </c>
      <c r="G834" s="10">
        <v>6178.49</v>
      </c>
      <c r="H834" s="10">
        <v>6507.09</v>
      </c>
      <c r="I834" s="10">
        <v>6689</v>
      </c>
    </row>
    <row r="835" spans="1:9" x14ac:dyDescent="0.2">
      <c r="A835" s="245" t="s">
        <v>1113</v>
      </c>
      <c r="B835" s="126" t="s">
        <v>1892</v>
      </c>
      <c r="C835" s="10">
        <v>8452.26</v>
      </c>
      <c r="D835" s="10">
        <v>8852.18</v>
      </c>
      <c r="E835" s="10">
        <v>9461.66</v>
      </c>
      <c r="F835" s="10">
        <v>9994.4</v>
      </c>
      <c r="G835" s="10">
        <v>11300.79</v>
      </c>
      <c r="H835" s="10">
        <v>10581</v>
      </c>
      <c r="I835" s="10">
        <v>10886</v>
      </c>
    </row>
    <row r="836" spans="1:9" x14ac:dyDescent="0.2">
      <c r="A836" s="245" t="s">
        <v>1114</v>
      </c>
      <c r="B836" s="126" t="s">
        <v>1893</v>
      </c>
      <c r="C836" s="18">
        <v>6960</v>
      </c>
      <c r="D836" s="18">
        <v>7765</v>
      </c>
      <c r="E836" s="18">
        <v>7800</v>
      </c>
      <c r="F836" s="18">
        <v>7800</v>
      </c>
      <c r="G836" s="18">
        <v>8775</v>
      </c>
      <c r="H836" s="10">
        <v>15756</v>
      </c>
      <c r="I836" s="10">
        <v>15600</v>
      </c>
    </row>
    <row r="837" spans="1:9" x14ac:dyDescent="0.2">
      <c r="A837" s="245" t="s">
        <v>483</v>
      </c>
      <c r="B837" s="126" t="s">
        <v>1895</v>
      </c>
      <c r="C837" s="10">
        <v>721.96</v>
      </c>
      <c r="D837" s="10">
        <v>1205.5</v>
      </c>
      <c r="E837" s="10">
        <v>1027.29</v>
      </c>
      <c r="F837" s="10">
        <v>840.29</v>
      </c>
      <c r="G837" s="10">
        <v>1147.44</v>
      </c>
      <c r="H837" s="10">
        <v>1600</v>
      </c>
      <c r="I837" s="10">
        <v>1600</v>
      </c>
    </row>
    <row r="838" spans="1:9" x14ac:dyDescent="0.2">
      <c r="A838" s="245" t="s">
        <v>484</v>
      </c>
      <c r="B838" s="126" t="s">
        <v>1896</v>
      </c>
      <c r="C838" s="10">
        <v>2170.86</v>
      </c>
      <c r="D838" s="10">
        <v>2028.84</v>
      </c>
      <c r="E838" s="10">
        <v>2244.25</v>
      </c>
      <c r="F838" s="10">
        <v>2436.4</v>
      </c>
      <c r="G838" s="10">
        <v>2118.0100000000002</v>
      </c>
      <c r="H838" s="10">
        <v>3000</v>
      </c>
      <c r="I838" s="10">
        <v>3300</v>
      </c>
    </row>
    <row r="839" spans="1:9" x14ac:dyDescent="0.2">
      <c r="A839" s="245" t="s">
        <v>485</v>
      </c>
      <c r="B839" s="126" t="s">
        <v>1898</v>
      </c>
      <c r="C839" s="10">
        <v>50</v>
      </c>
      <c r="D839" s="10">
        <v>50</v>
      </c>
      <c r="E839" s="10">
        <v>50</v>
      </c>
      <c r="F839" s="10">
        <v>50</v>
      </c>
      <c r="G839" s="10">
        <v>50</v>
      </c>
      <c r="H839" s="10">
        <v>50</v>
      </c>
      <c r="I839" s="10">
        <f t="shared" ref="I839:I840" si="136">+H839</f>
        <v>50</v>
      </c>
    </row>
    <row r="840" spans="1:9" x14ac:dyDescent="0.2">
      <c r="A840" s="245" t="s">
        <v>486</v>
      </c>
      <c r="B840" s="126" t="s">
        <v>1900</v>
      </c>
      <c r="C840" s="37">
        <v>0</v>
      </c>
      <c r="D840" s="37">
        <v>0</v>
      </c>
      <c r="E840" s="37">
        <v>0</v>
      </c>
      <c r="F840" s="37">
        <v>0</v>
      </c>
      <c r="G840" s="37">
        <v>0</v>
      </c>
      <c r="H840" s="10">
        <v>250</v>
      </c>
      <c r="I840" s="10">
        <f t="shared" si="136"/>
        <v>250</v>
      </c>
    </row>
    <row r="841" spans="1:9" x14ac:dyDescent="0.2">
      <c r="A841" s="245"/>
      <c r="B841" s="6" t="s">
        <v>1118</v>
      </c>
      <c r="C841" s="38">
        <f t="shared" ref="C841:G841" si="137">SUM(C830:C840)</f>
        <v>95352.590000000011</v>
      </c>
      <c r="D841" s="38">
        <f t="shared" si="137"/>
        <v>99448.049999999988</v>
      </c>
      <c r="E841" s="38">
        <f t="shared" si="137"/>
        <v>102567.02</v>
      </c>
      <c r="F841" s="38">
        <f t="shared" si="137"/>
        <v>106856.80999999998</v>
      </c>
      <c r="G841" s="38">
        <f t="shared" si="137"/>
        <v>120475.18000000001</v>
      </c>
      <c r="H841" s="38">
        <f t="shared" ref="H841:I841" si="138">SUM(H830:H840)</f>
        <v>122804.09</v>
      </c>
      <c r="I841" s="38">
        <f t="shared" si="138"/>
        <v>125814</v>
      </c>
    </row>
    <row r="842" spans="1:9" x14ac:dyDescent="0.2">
      <c r="A842" s="245"/>
      <c r="B842" s="6"/>
      <c r="C842" s="10"/>
      <c r="E842" s="10"/>
      <c r="G842" s="10"/>
      <c r="H842" s="10"/>
      <c r="I842" s="10"/>
    </row>
    <row r="843" spans="1:9" x14ac:dyDescent="0.2">
      <c r="A843" s="251" t="s">
        <v>487</v>
      </c>
      <c r="B843" s="4" t="s">
        <v>623</v>
      </c>
      <c r="C843" s="10"/>
      <c r="E843" s="10"/>
      <c r="G843" s="10"/>
      <c r="H843" s="10"/>
      <c r="I843" s="10"/>
    </row>
    <row r="844" spans="1:9" x14ac:dyDescent="0.2">
      <c r="A844" s="245" t="s">
        <v>338</v>
      </c>
      <c r="B844" s="126" t="s">
        <v>1904</v>
      </c>
      <c r="C844" s="10">
        <v>37402.04</v>
      </c>
      <c r="D844" s="10">
        <v>38202.06</v>
      </c>
      <c r="E844" s="10">
        <v>37576.730000000003</v>
      </c>
      <c r="F844" s="10">
        <v>33391.019999999997</v>
      </c>
      <c r="G844" s="10">
        <v>35564.17</v>
      </c>
      <c r="H844" s="10">
        <v>36475</v>
      </c>
      <c r="I844" s="10">
        <v>38299</v>
      </c>
    </row>
    <row r="845" spans="1:9" x14ac:dyDescent="0.2">
      <c r="A845" s="245" t="s">
        <v>339</v>
      </c>
      <c r="B845" s="126" t="s">
        <v>1889</v>
      </c>
      <c r="C845" s="10">
        <v>959.92</v>
      </c>
      <c r="D845" s="10">
        <v>1306.17</v>
      </c>
      <c r="E845" s="10">
        <v>210.01</v>
      </c>
      <c r="F845" s="10">
        <v>173</v>
      </c>
      <c r="G845" s="10">
        <v>246.9</v>
      </c>
      <c r="H845" s="10">
        <v>300</v>
      </c>
      <c r="I845" s="10">
        <v>360</v>
      </c>
    </row>
    <row r="846" spans="1:9" x14ac:dyDescent="0.2">
      <c r="A846" s="245" t="s">
        <v>340</v>
      </c>
      <c r="B846" s="126" t="s">
        <v>1891</v>
      </c>
      <c r="C846" s="10">
        <v>2879.66</v>
      </c>
      <c r="D846" s="10">
        <v>2968.32</v>
      </c>
      <c r="E846" s="10">
        <v>2805.66</v>
      </c>
      <c r="F846" s="10">
        <v>2484.5</v>
      </c>
      <c r="G846" s="10">
        <v>2655.91</v>
      </c>
      <c r="H846" s="10">
        <v>2813</v>
      </c>
      <c r="I846" s="10">
        <v>2957</v>
      </c>
    </row>
    <row r="847" spans="1:9" x14ac:dyDescent="0.2">
      <c r="A847" s="245" t="s">
        <v>341</v>
      </c>
      <c r="B847" s="126" t="s">
        <v>1892</v>
      </c>
      <c r="C847" s="10">
        <v>4492.46</v>
      </c>
      <c r="D847" s="10">
        <v>4688.72</v>
      </c>
      <c r="E847" s="10">
        <v>4619.1899999999996</v>
      </c>
      <c r="F847" s="10">
        <v>4176.12</v>
      </c>
      <c r="G847" s="10">
        <v>4454.8599999999997</v>
      </c>
      <c r="H847" s="10">
        <v>4575</v>
      </c>
      <c r="I847" s="10">
        <v>4813</v>
      </c>
    </row>
    <row r="848" spans="1:9" x14ac:dyDescent="0.2">
      <c r="A848" s="245" t="s">
        <v>342</v>
      </c>
      <c r="B848" s="126" t="s">
        <v>1893</v>
      </c>
      <c r="C848" s="18">
        <v>6960</v>
      </c>
      <c r="D848" s="18">
        <v>7765</v>
      </c>
      <c r="E848" s="18">
        <v>7614.74</v>
      </c>
      <c r="F848" s="18">
        <v>7800</v>
      </c>
      <c r="G848" s="18">
        <v>7800</v>
      </c>
      <c r="H848" s="10">
        <v>7878</v>
      </c>
      <c r="I848" s="10">
        <v>7800</v>
      </c>
    </row>
    <row r="849" spans="1:9" x14ac:dyDescent="0.2">
      <c r="A849" s="245" t="s">
        <v>343</v>
      </c>
      <c r="B849" s="126" t="s">
        <v>1895</v>
      </c>
      <c r="C849" s="10">
        <v>0</v>
      </c>
      <c r="D849" s="10">
        <v>0</v>
      </c>
      <c r="E849" s="10">
        <v>0</v>
      </c>
      <c r="F849" s="10">
        <v>0</v>
      </c>
      <c r="G849" s="10">
        <v>0</v>
      </c>
      <c r="H849" s="10">
        <v>0</v>
      </c>
      <c r="I849" s="10">
        <f t="shared" ref="I849:I853" si="139">+H849</f>
        <v>0</v>
      </c>
    </row>
    <row r="850" spans="1:9" x14ac:dyDescent="0.2">
      <c r="A850" s="245" t="s">
        <v>344</v>
      </c>
      <c r="B850" s="126" t="s">
        <v>1896</v>
      </c>
      <c r="C850" s="10">
        <v>0</v>
      </c>
      <c r="D850" s="10">
        <v>2.0499999999999998</v>
      </c>
      <c r="E850" s="10">
        <v>0</v>
      </c>
      <c r="F850" s="10">
        <v>0</v>
      </c>
      <c r="G850" s="10">
        <v>0</v>
      </c>
      <c r="H850" s="10">
        <v>0</v>
      </c>
      <c r="I850" s="10">
        <f t="shared" si="139"/>
        <v>0</v>
      </c>
    </row>
    <row r="851" spans="1:9" x14ac:dyDescent="0.2">
      <c r="A851" s="245" t="s">
        <v>345</v>
      </c>
      <c r="B851" s="126" t="s">
        <v>1971</v>
      </c>
      <c r="C851" s="10">
        <v>0</v>
      </c>
      <c r="D851" s="10">
        <v>0</v>
      </c>
      <c r="E851" s="10">
        <v>0</v>
      </c>
      <c r="F851" s="10">
        <v>0</v>
      </c>
      <c r="G851" s="10">
        <v>0</v>
      </c>
      <c r="H851" s="10">
        <v>0</v>
      </c>
      <c r="I851" s="10">
        <f t="shared" si="139"/>
        <v>0</v>
      </c>
    </row>
    <row r="852" spans="1:9" x14ac:dyDescent="0.2">
      <c r="A852" s="245" t="s">
        <v>346</v>
      </c>
      <c r="B852" s="126" t="s">
        <v>1900</v>
      </c>
      <c r="C852" s="18">
        <v>0</v>
      </c>
      <c r="D852" s="18">
        <v>0</v>
      </c>
      <c r="E852" s="18">
        <v>0</v>
      </c>
      <c r="F852" s="18">
        <v>1441.19</v>
      </c>
      <c r="G852" s="18">
        <v>1833.12</v>
      </c>
      <c r="H852" s="10">
        <v>1750</v>
      </c>
      <c r="I852" s="10">
        <v>1850</v>
      </c>
    </row>
    <row r="853" spans="1:9" x14ac:dyDescent="0.2">
      <c r="A853" s="245" t="s">
        <v>1436</v>
      </c>
      <c r="B853" s="126" t="s">
        <v>2019</v>
      </c>
      <c r="C853" s="18">
        <v>0</v>
      </c>
      <c r="D853" s="18">
        <v>0</v>
      </c>
      <c r="E853" s="18">
        <v>0</v>
      </c>
      <c r="F853" s="18">
        <v>0</v>
      </c>
      <c r="G853" s="18">
        <v>0</v>
      </c>
      <c r="H853" s="10">
        <v>0</v>
      </c>
      <c r="I853" s="10">
        <f t="shared" si="139"/>
        <v>0</v>
      </c>
    </row>
    <row r="854" spans="1:9" x14ac:dyDescent="0.2">
      <c r="A854" s="245"/>
      <c r="B854" s="6" t="s">
        <v>1118</v>
      </c>
      <c r="C854" s="38">
        <f t="shared" ref="C854:G854" si="140">SUM(C844:C853)</f>
        <v>52694.079999999994</v>
      </c>
      <c r="D854" s="38">
        <f t="shared" si="140"/>
        <v>54932.32</v>
      </c>
      <c r="E854" s="38">
        <f t="shared" si="140"/>
        <v>52826.330000000009</v>
      </c>
      <c r="F854" s="38">
        <f t="shared" si="140"/>
        <v>49465.83</v>
      </c>
      <c r="G854" s="38">
        <f t="shared" si="140"/>
        <v>52554.96</v>
      </c>
      <c r="H854" s="38">
        <f t="shared" ref="H854:I854" si="141">SUM(H844:H853)</f>
        <v>53791</v>
      </c>
      <c r="I854" s="38">
        <f t="shared" si="141"/>
        <v>56079</v>
      </c>
    </row>
    <row r="855" spans="1:9" x14ac:dyDescent="0.2">
      <c r="A855" s="245"/>
      <c r="B855" s="6"/>
      <c r="C855" s="10"/>
      <c r="E855" s="10"/>
      <c r="G855" s="10"/>
      <c r="H855" s="10"/>
      <c r="I855" s="10"/>
    </row>
    <row r="856" spans="1:9" x14ac:dyDescent="0.2">
      <c r="A856" s="251" t="s">
        <v>347</v>
      </c>
      <c r="B856" s="4" t="s">
        <v>624</v>
      </c>
      <c r="C856" s="10"/>
      <c r="E856" s="10"/>
      <c r="G856" s="10"/>
      <c r="H856" s="10"/>
      <c r="I856" s="10"/>
    </row>
    <row r="857" spans="1:9" x14ac:dyDescent="0.2">
      <c r="A857" s="248" t="s">
        <v>520</v>
      </c>
      <c r="B857" s="126" t="s">
        <v>1838</v>
      </c>
      <c r="C857" s="10">
        <v>0</v>
      </c>
      <c r="D857" s="10">
        <v>0</v>
      </c>
      <c r="E857" s="10">
        <v>0</v>
      </c>
      <c r="F857" s="10">
        <v>0</v>
      </c>
      <c r="G857" s="10">
        <v>0</v>
      </c>
      <c r="H857" s="10">
        <v>0</v>
      </c>
      <c r="I857" s="10">
        <f t="shared" ref="I857:I864" si="142">+H857</f>
        <v>0</v>
      </c>
    </row>
    <row r="858" spans="1:9" x14ac:dyDescent="0.2">
      <c r="A858" s="245" t="s">
        <v>348</v>
      </c>
      <c r="B858" s="126" t="s">
        <v>2031</v>
      </c>
      <c r="C858" s="10">
        <v>39100</v>
      </c>
      <c r="D858" s="10">
        <v>39100</v>
      </c>
      <c r="E858" s="10">
        <f>39100</f>
        <v>39100</v>
      </c>
      <c r="F858" s="10">
        <v>289100</v>
      </c>
      <c r="G858" s="10">
        <v>39100</v>
      </c>
      <c r="H858" s="10">
        <v>39100</v>
      </c>
      <c r="I858" s="10">
        <f t="shared" si="142"/>
        <v>39100</v>
      </c>
    </row>
    <row r="859" spans="1:9" x14ac:dyDescent="0.2">
      <c r="A859" s="245" t="s">
        <v>1675</v>
      </c>
      <c r="B859" s="126" t="s">
        <v>2032</v>
      </c>
      <c r="C859" s="10">
        <v>7675</v>
      </c>
      <c r="D859" s="10">
        <v>7675</v>
      </c>
      <c r="E859" s="10">
        <v>7675</v>
      </c>
      <c r="F859" s="10">
        <v>7675</v>
      </c>
      <c r="G859" s="10">
        <v>7675</v>
      </c>
      <c r="H859" s="10">
        <v>7675</v>
      </c>
      <c r="I859" s="10">
        <f t="shared" si="142"/>
        <v>7675</v>
      </c>
    </row>
    <row r="860" spans="1:9" hidden="1" x14ac:dyDescent="0.2">
      <c r="A860" s="245" t="s">
        <v>349</v>
      </c>
      <c r="B860" s="125" t="s">
        <v>625</v>
      </c>
      <c r="C860" s="10">
        <v>0</v>
      </c>
      <c r="D860" s="10">
        <v>0</v>
      </c>
      <c r="E860" s="10">
        <v>0</v>
      </c>
      <c r="F860" s="10">
        <v>0</v>
      </c>
      <c r="G860" s="10">
        <v>0</v>
      </c>
      <c r="H860" s="10">
        <v>0</v>
      </c>
      <c r="I860" s="10">
        <f t="shared" si="142"/>
        <v>0</v>
      </c>
    </row>
    <row r="861" spans="1:9" x14ac:dyDescent="0.2">
      <c r="A861" s="245" t="s">
        <v>350</v>
      </c>
      <c r="B861" s="126" t="s">
        <v>2033</v>
      </c>
      <c r="C861" s="10">
        <v>0</v>
      </c>
      <c r="D861" s="10">
        <v>0</v>
      </c>
      <c r="E861" s="10">
        <v>0</v>
      </c>
      <c r="F861" s="10">
        <v>0</v>
      </c>
      <c r="G861" s="10">
        <v>0</v>
      </c>
      <c r="H861" s="10">
        <v>1000</v>
      </c>
      <c r="I861" s="10">
        <v>0</v>
      </c>
    </row>
    <row r="862" spans="1:9" x14ac:dyDescent="0.2">
      <c r="A862" s="245" t="s">
        <v>351</v>
      </c>
      <c r="B862" s="126" t="s">
        <v>2034</v>
      </c>
      <c r="C862" s="10">
        <v>0</v>
      </c>
      <c r="D862" s="10">
        <v>0</v>
      </c>
      <c r="E862" s="10">
        <v>0</v>
      </c>
      <c r="F862" s="10">
        <v>0</v>
      </c>
      <c r="G862" s="10">
        <v>0</v>
      </c>
      <c r="H862" s="10">
        <v>50</v>
      </c>
      <c r="I862" s="10">
        <v>0</v>
      </c>
    </row>
    <row r="863" spans="1:9" x14ac:dyDescent="0.2">
      <c r="A863" s="245" t="s">
        <v>352</v>
      </c>
      <c r="B863" s="126" t="s">
        <v>2035</v>
      </c>
      <c r="C863" s="10">
        <v>0</v>
      </c>
      <c r="D863" s="10">
        <v>0</v>
      </c>
      <c r="E863" s="10">
        <v>0</v>
      </c>
      <c r="F863" s="10">
        <v>0</v>
      </c>
      <c r="G863" s="10">
        <v>0</v>
      </c>
      <c r="H863" s="10">
        <v>0</v>
      </c>
      <c r="I863" s="10">
        <f t="shared" si="142"/>
        <v>0</v>
      </c>
    </row>
    <row r="864" spans="1:9" x14ac:dyDescent="0.2">
      <c r="A864" s="245" t="s">
        <v>353</v>
      </c>
      <c r="B864" s="126" t="s">
        <v>2036</v>
      </c>
      <c r="C864" s="12">
        <v>36900</v>
      </c>
      <c r="D864" s="12">
        <v>38400</v>
      </c>
      <c r="E864" s="12">
        <v>38400</v>
      </c>
      <c r="F864" s="12">
        <v>38400</v>
      </c>
      <c r="G864" s="12">
        <v>38400</v>
      </c>
      <c r="H864" s="10">
        <v>38400</v>
      </c>
      <c r="I864" s="10">
        <f t="shared" si="142"/>
        <v>38400</v>
      </c>
    </row>
    <row r="865" spans="1:9" x14ac:dyDescent="0.2">
      <c r="A865" s="245"/>
      <c r="B865" s="6" t="s">
        <v>1118</v>
      </c>
      <c r="C865" s="38">
        <f t="shared" ref="C865:G865" si="143">SUM(C857:C864)</f>
        <v>83675</v>
      </c>
      <c r="D865" s="38">
        <f t="shared" si="143"/>
        <v>85175</v>
      </c>
      <c r="E865" s="38">
        <f t="shared" si="143"/>
        <v>85175</v>
      </c>
      <c r="F865" s="38">
        <f t="shared" si="143"/>
        <v>335175</v>
      </c>
      <c r="G865" s="38">
        <f t="shared" si="143"/>
        <v>85175</v>
      </c>
      <c r="H865" s="38">
        <f t="shared" ref="H865:I865" si="144">SUM(H857:H864)</f>
        <v>86225</v>
      </c>
      <c r="I865" s="38">
        <f t="shared" si="144"/>
        <v>85175</v>
      </c>
    </row>
    <row r="866" spans="1:9" x14ac:dyDescent="0.2">
      <c r="A866" s="245"/>
      <c r="B866" s="6"/>
      <c r="C866" s="10"/>
      <c r="E866" s="10"/>
      <c r="G866" s="10"/>
      <c r="H866" s="10"/>
      <c r="I866" s="10"/>
    </row>
    <row r="867" spans="1:9" x14ac:dyDescent="0.2">
      <c r="A867" s="251" t="s">
        <v>354</v>
      </c>
      <c r="B867" s="20" t="s">
        <v>626</v>
      </c>
      <c r="C867" s="10"/>
      <c r="E867" s="10"/>
      <c r="G867" s="115"/>
      <c r="H867" s="10"/>
      <c r="I867" s="10"/>
    </row>
    <row r="868" spans="1:9" x14ac:dyDescent="0.2">
      <c r="A868" s="245" t="s">
        <v>355</v>
      </c>
      <c r="B868" s="126" t="s">
        <v>1905</v>
      </c>
      <c r="C868" s="10">
        <v>42861</v>
      </c>
      <c r="D868" s="10">
        <v>44652.14</v>
      </c>
      <c r="E868" s="10">
        <v>19864.32</v>
      </c>
      <c r="F868" s="10">
        <v>0</v>
      </c>
      <c r="G868" s="10">
        <v>0</v>
      </c>
      <c r="H868" s="10">
        <v>0</v>
      </c>
      <c r="I868" s="10">
        <v>0</v>
      </c>
    </row>
    <row r="869" spans="1:9" x14ac:dyDescent="0.2">
      <c r="A869" s="245" t="s">
        <v>356</v>
      </c>
      <c r="B869" s="126" t="s">
        <v>1983</v>
      </c>
      <c r="C869" s="10">
        <v>36567.96</v>
      </c>
      <c r="D869" s="10">
        <v>37367.980000000003</v>
      </c>
      <c r="E869" s="10">
        <v>38164.92</v>
      </c>
      <c r="F869" s="10">
        <v>37045.360000000001</v>
      </c>
      <c r="G869" s="10">
        <v>41352.57</v>
      </c>
      <c r="H869" s="10">
        <v>41768</v>
      </c>
      <c r="I869" s="10">
        <v>0</v>
      </c>
    </row>
    <row r="870" spans="1:9" x14ac:dyDescent="0.2">
      <c r="A870" s="245" t="s">
        <v>357</v>
      </c>
      <c r="B870" s="126" t="s">
        <v>1984</v>
      </c>
      <c r="C870" s="18">
        <v>0</v>
      </c>
      <c r="D870" s="18">
        <v>0</v>
      </c>
      <c r="E870" s="18">
        <v>0</v>
      </c>
      <c r="F870" s="18">
        <v>13284.27</v>
      </c>
      <c r="G870" s="18">
        <v>15820.89</v>
      </c>
      <c r="H870" s="10">
        <v>22012</v>
      </c>
      <c r="I870" s="10">
        <v>0</v>
      </c>
    </row>
    <row r="871" spans="1:9" x14ac:dyDescent="0.2">
      <c r="A871" s="245" t="s">
        <v>1085</v>
      </c>
      <c r="B871" s="126" t="s">
        <v>1889</v>
      </c>
      <c r="C871" s="18">
        <v>1075.42</v>
      </c>
      <c r="D871" s="18">
        <v>1657.04</v>
      </c>
      <c r="E871" s="18">
        <v>1276.32</v>
      </c>
      <c r="F871" s="18">
        <v>846.86</v>
      </c>
      <c r="G871" s="18">
        <v>0</v>
      </c>
      <c r="H871" s="10">
        <v>0</v>
      </c>
      <c r="I871" s="10">
        <v>0</v>
      </c>
    </row>
    <row r="872" spans="1:9" x14ac:dyDescent="0.2">
      <c r="A872" s="245" t="s">
        <v>358</v>
      </c>
      <c r="B872" s="126" t="s">
        <v>1891</v>
      </c>
      <c r="C872" s="10">
        <v>5647.44</v>
      </c>
      <c r="D872" s="10">
        <v>5845.6</v>
      </c>
      <c r="E872" s="10">
        <v>4321.3599999999997</v>
      </c>
      <c r="F872" s="10">
        <v>3860.46</v>
      </c>
      <c r="G872" s="10">
        <v>4332.29</v>
      </c>
      <c r="H872" s="10">
        <v>4916</v>
      </c>
      <c r="I872" s="10">
        <v>0</v>
      </c>
    </row>
    <row r="873" spans="1:9" x14ac:dyDescent="0.2">
      <c r="A873" s="245" t="s">
        <v>359</v>
      </c>
      <c r="B873" s="126" t="s">
        <v>1892</v>
      </c>
      <c r="C873" s="10">
        <v>9428.48</v>
      </c>
      <c r="D873" s="10">
        <v>9930.2000000000007</v>
      </c>
      <c r="E873" s="10">
        <v>7268.07</v>
      </c>
      <c r="F873" s="10">
        <v>6164.89</v>
      </c>
      <c r="G873" s="10">
        <v>7112.36</v>
      </c>
      <c r="H873" s="10">
        <v>7934</v>
      </c>
      <c r="I873" s="10">
        <v>0</v>
      </c>
    </row>
    <row r="874" spans="1:9" x14ac:dyDescent="0.2">
      <c r="A874" s="245" t="s">
        <v>360</v>
      </c>
      <c r="B874" s="126" t="s">
        <v>1893</v>
      </c>
      <c r="C874" s="18">
        <v>13920</v>
      </c>
      <c r="D874" s="18">
        <v>15530</v>
      </c>
      <c r="E874" s="18">
        <v>10731.92</v>
      </c>
      <c r="F874" s="18">
        <v>6825</v>
      </c>
      <c r="G874" s="18">
        <v>6500</v>
      </c>
      <c r="H874" s="10">
        <v>7878</v>
      </c>
      <c r="I874" s="10">
        <v>0</v>
      </c>
    </row>
    <row r="875" spans="1:9" x14ac:dyDescent="0.2">
      <c r="A875" s="247" t="s">
        <v>1615</v>
      </c>
      <c r="B875" s="126" t="s">
        <v>1906</v>
      </c>
      <c r="C875" s="18">
        <v>215.01</v>
      </c>
      <c r="D875" s="18">
        <v>0</v>
      </c>
      <c r="E875" s="18">
        <v>0</v>
      </c>
      <c r="F875" s="18">
        <v>0</v>
      </c>
      <c r="G875" s="18">
        <v>0</v>
      </c>
      <c r="H875" s="10">
        <v>500</v>
      </c>
      <c r="I875" s="10">
        <v>0</v>
      </c>
    </row>
    <row r="876" spans="1:9" x14ac:dyDescent="0.2">
      <c r="A876" s="245" t="s">
        <v>707</v>
      </c>
      <c r="B876" s="126" t="s">
        <v>1991</v>
      </c>
      <c r="C876" s="18">
        <v>649.16</v>
      </c>
      <c r="D876" s="18">
        <v>791.83</v>
      </c>
      <c r="E876" s="18">
        <v>521.80999999999995</v>
      </c>
      <c r="F876" s="18">
        <v>411.34</v>
      </c>
      <c r="G876" s="18">
        <v>454.85</v>
      </c>
      <c r="H876" s="10">
        <v>800</v>
      </c>
      <c r="I876" s="10">
        <v>0</v>
      </c>
    </row>
    <row r="877" spans="1:9" x14ac:dyDescent="0.2">
      <c r="A877" s="245" t="s">
        <v>361</v>
      </c>
      <c r="B877" s="126" t="s">
        <v>1895</v>
      </c>
      <c r="C877" s="18">
        <v>1746.99</v>
      </c>
      <c r="D877" s="18">
        <v>1800.29</v>
      </c>
      <c r="E877" s="18">
        <v>894.23</v>
      </c>
      <c r="F877" s="18">
        <v>2852.74</v>
      </c>
      <c r="G877" s="18">
        <v>2125.8200000000002</v>
      </c>
      <c r="H877" s="10">
        <v>3500</v>
      </c>
      <c r="I877" s="10">
        <v>0</v>
      </c>
    </row>
    <row r="878" spans="1:9" x14ac:dyDescent="0.2">
      <c r="A878" s="245" t="s">
        <v>629</v>
      </c>
      <c r="B878" s="126" t="s">
        <v>1896</v>
      </c>
      <c r="C878" s="18">
        <v>668.11</v>
      </c>
      <c r="D878" s="18">
        <v>688.81</v>
      </c>
      <c r="E878" s="18">
        <v>487.2</v>
      </c>
      <c r="F878" s="18">
        <v>862.07</v>
      </c>
      <c r="G878" s="18">
        <v>329.69</v>
      </c>
      <c r="H878" s="10">
        <v>850</v>
      </c>
      <c r="I878" s="10">
        <v>0</v>
      </c>
    </row>
    <row r="879" spans="1:9" x14ac:dyDescent="0.2">
      <c r="A879" s="245" t="s">
        <v>95</v>
      </c>
      <c r="B879" s="126" t="s">
        <v>2038</v>
      </c>
      <c r="C879" s="18">
        <v>1156.3499999999999</v>
      </c>
      <c r="D879" s="18">
        <v>1941.55</v>
      </c>
      <c r="E879" s="18">
        <v>1973.71</v>
      </c>
      <c r="F879" s="18">
        <v>1724.51</v>
      </c>
      <c r="G879" s="18">
        <v>2068.1799999999998</v>
      </c>
      <c r="H879" s="10">
        <v>3500</v>
      </c>
      <c r="I879" s="10">
        <v>0</v>
      </c>
    </row>
    <row r="880" spans="1:9" x14ac:dyDescent="0.2">
      <c r="A880" s="245" t="s">
        <v>362</v>
      </c>
      <c r="B880" s="126" t="s">
        <v>1897</v>
      </c>
      <c r="C880" s="18">
        <v>720</v>
      </c>
      <c r="D880" s="18">
        <v>720</v>
      </c>
      <c r="E880" s="18">
        <v>895.88</v>
      </c>
      <c r="F880" s="18">
        <v>911.86</v>
      </c>
      <c r="G880" s="18">
        <v>875.88</v>
      </c>
      <c r="H880" s="10">
        <v>1500</v>
      </c>
      <c r="I880" s="10">
        <v>0</v>
      </c>
    </row>
    <row r="881" spans="1:9" x14ac:dyDescent="0.2">
      <c r="A881" s="245" t="s">
        <v>997</v>
      </c>
      <c r="B881" s="126" t="s">
        <v>2039</v>
      </c>
      <c r="C881" s="18">
        <v>0</v>
      </c>
      <c r="D881" s="18">
        <v>0</v>
      </c>
      <c r="E881" s="18">
        <v>0</v>
      </c>
      <c r="F881" s="18">
        <v>0</v>
      </c>
      <c r="G881" s="18">
        <v>0</v>
      </c>
      <c r="H881" s="10">
        <v>0</v>
      </c>
      <c r="I881" s="10">
        <v>0</v>
      </c>
    </row>
    <row r="882" spans="1:9" x14ac:dyDescent="0.2">
      <c r="A882" s="245" t="s">
        <v>363</v>
      </c>
      <c r="B882" s="126" t="s">
        <v>1898</v>
      </c>
      <c r="C882" s="18">
        <v>3367.6</v>
      </c>
      <c r="D882" s="18">
        <v>3185</v>
      </c>
      <c r="E882" s="18">
        <v>2445.81</v>
      </c>
      <c r="F882" s="18">
        <v>789.75</v>
      </c>
      <c r="G882" s="18">
        <v>693.75</v>
      </c>
      <c r="H882" s="10">
        <v>7800</v>
      </c>
      <c r="I882" s="10">
        <v>0</v>
      </c>
    </row>
    <row r="883" spans="1:9" x14ac:dyDescent="0.2">
      <c r="A883" s="245" t="s">
        <v>96</v>
      </c>
      <c r="B883" s="126" t="s">
        <v>1971</v>
      </c>
      <c r="C883" s="18">
        <v>2655.74</v>
      </c>
      <c r="D883" s="18">
        <v>2810.11</v>
      </c>
      <c r="E883" s="18">
        <v>2880.93</v>
      </c>
      <c r="F883" s="18">
        <v>590.34</v>
      </c>
      <c r="G883" s="18">
        <v>389.99</v>
      </c>
      <c r="H883" s="10">
        <v>2500</v>
      </c>
      <c r="I883" s="10">
        <v>0</v>
      </c>
    </row>
    <row r="884" spans="1:9" x14ac:dyDescent="0.2">
      <c r="A884" s="245" t="s">
        <v>999</v>
      </c>
      <c r="B884" s="126" t="s">
        <v>2040</v>
      </c>
      <c r="C884" s="18">
        <v>1730</v>
      </c>
      <c r="D884" s="18">
        <v>1930</v>
      </c>
      <c r="E884" s="18">
        <v>1170</v>
      </c>
      <c r="F884" s="18">
        <v>1620</v>
      </c>
      <c r="G884" s="18">
        <v>0</v>
      </c>
      <c r="H884" s="10">
        <v>2500</v>
      </c>
      <c r="I884" s="10">
        <v>0</v>
      </c>
    </row>
    <row r="885" spans="1:9" x14ac:dyDescent="0.2">
      <c r="A885" s="245" t="s">
        <v>1000</v>
      </c>
      <c r="B885" s="126" t="s">
        <v>1900</v>
      </c>
      <c r="C885" s="18">
        <v>0</v>
      </c>
      <c r="D885" s="18">
        <v>0</v>
      </c>
      <c r="E885" s="18">
        <v>378.97</v>
      </c>
      <c r="F885" s="18">
        <v>1399.38</v>
      </c>
      <c r="G885" s="18">
        <v>329.44</v>
      </c>
      <c r="H885" s="10">
        <v>2800</v>
      </c>
      <c r="I885" s="10">
        <v>0</v>
      </c>
    </row>
    <row r="886" spans="1:9" x14ac:dyDescent="0.2">
      <c r="A886" s="245" t="s">
        <v>2304</v>
      </c>
      <c r="B886" s="126" t="s">
        <v>2301</v>
      </c>
      <c r="C886" s="18">
        <v>0</v>
      </c>
      <c r="D886" s="18">
        <v>0</v>
      </c>
      <c r="E886" s="18">
        <v>6029</v>
      </c>
      <c r="F886" s="18">
        <v>10822.08</v>
      </c>
      <c r="G886" s="18">
        <v>10889.08</v>
      </c>
      <c r="H886" s="10">
        <v>11000</v>
      </c>
      <c r="I886" s="10">
        <v>0</v>
      </c>
    </row>
    <row r="887" spans="1:9" x14ac:dyDescent="0.2">
      <c r="A887" s="245"/>
      <c r="B887" s="6" t="s">
        <v>1118</v>
      </c>
      <c r="C887" s="38">
        <f t="shared" ref="C887:F887" si="145">SUM(C868:C886)</f>
        <v>122409.26000000001</v>
      </c>
      <c r="D887" s="38">
        <f t="shared" si="145"/>
        <v>128850.54999999999</v>
      </c>
      <c r="E887" s="38">
        <f t="shared" si="145"/>
        <v>99304.449999999983</v>
      </c>
      <c r="F887" s="38">
        <f t="shared" si="145"/>
        <v>90010.91</v>
      </c>
      <c r="G887" s="38">
        <f t="shared" ref="G887:H887" si="146">SUM(G868:G886)</f>
        <v>93274.790000000023</v>
      </c>
      <c r="H887" s="38">
        <f t="shared" si="146"/>
        <v>121758</v>
      </c>
      <c r="I887" s="38">
        <f t="shared" ref="I887" si="147">SUM(I868:I886)</f>
        <v>0</v>
      </c>
    </row>
    <row r="888" spans="1:9" x14ac:dyDescent="0.2">
      <c r="A888" s="245"/>
      <c r="B888" s="234" t="s">
        <v>2630</v>
      </c>
      <c r="C888" s="10"/>
      <c r="E888" s="10"/>
      <c r="G888" s="10"/>
      <c r="H888" s="10"/>
      <c r="I888" s="10"/>
    </row>
    <row r="889" spans="1:9" x14ac:dyDescent="0.2">
      <c r="A889" s="245"/>
      <c r="B889" s="4" t="s">
        <v>653</v>
      </c>
      <c r="C889" s="112" t="s">
        <v>1433</v>
      </c>
      <c r="D889" s="112" t="s">
        <v>1433</v>
      </c>
      <c r="E889" s="112" t="s">
        <v>1433</v>
      </c>
      <c r="F889" s="112" t="s">
        <v>1433</v>
      </c>
      <c r="G889" s="222" t="s">
        <v>1433</v>
      </c>
      <c r="H889" s="112" t="s">
        <v>1433</v>
      </c>
      <c r="I889" s="112" t="s">
        <v>1433</v>
      </c>
    </row>
    <row r="890" spans="1:9" x14ac:dyDescent="0.2">
      <c r="A890" s="245"/>
      <c r="B890" s="4" t="s">
        <v>980</v>
      </c>
      <c r="C890" s="112" t="s">
        <v>1433</v>
      </c>
      <c r="D890" s="112" t="s">
        <v>1433</v>
      </c>
      <c r="E890" s="112" t="s">
        <v>1433</v>
      </c>
      <c r="F890" s="112" t="s">
        <v>1433</v>
      </c>
      <c r="G890" s="222" t="s">
        <v>1433</v>
      </c>
      <c r="H890" s="112" t="s">
        <v>1433</v>
      </c>
      <c r="I890" s="112" t="s">
        <v>1433</v>
      </c>
    </row>
    <row r="891" spans="1:9" x14ac:dyDescent="0.2">
      <c r="A891" s="245"/>
      <c r="B891" s="4" t="s">
        <v>138</v>
      </c>
      <c r="C891" s="112" t="s">
        <v>1433</v>
      </c>
      <c r="D891" s="112" t="s">
        <v>1433</v>
      </c>
      <c r="E891" s="112" t="s">
        <v>1433</v>
      </c>
      <c r="F891" s="112" t="s">
        <v>1433</v>
      </c>
      <c r="G891" s="222" t="s">
        <v>1433</v>
      </c>
      <c r="H891" s="112" t="s">
        <v>1433</v>
      </c>
      <c r="I891" s="112" t="s">
        <v>1433</v>
      </c>
    </row>
    <row r="892" spans="1:9" x14ac:dyDescent="0.2">
      <c r="A892" s="245"/>
      <c r="C892" s="129" t="str">
        <f>+$C$4</f>
        <v>2018 ACTUAL</v>
      </c>
      <c r="D892" s="129" t="str">
        <f t="shared" ref="D892:I892" si="148">+D$4</f>
        <v>2019 ACTUAL</v>
      </c>
      <c r="E892" s="129" t="str">
        <f t="shared" si="148"/>
        <v>2020 ACTUAL</v>
      </c>
      <c r="F892" s="129" t="str">
        <f t="shared" si="148"/>
        <v>2021 ACTUAL</v>
      </c>
      <c r="G892" s="223" t="str">
        <f t="shared" si="148"/>
        <v>2022 ACTUAL</v>
      </c>
      <c r="H892" s="129" t="str">
        <f t="shared" si="148"/>
        <v xml:space="preserve">2023 BUDGET </v>
      </c>
      <c r="I892" s="129" t="str">
        <f t="shared" si="148"/>
        <v xml:space="preserve">2024 BUDGET </v>
      </c>
    </row>
    <row r="893" spans="1:9" x14ac:dyDescent="0.2">
      <c r="A893" s="251" t="s">
        <v>1001</v>
      </c>
      <c r="B893" s="4" t="s">
        <v>627</v>
      </c>
      <c r="C893" s="10"/>
      <c r="E893" s="10"/>
      <c r="G893" s="115"/>
      <c r="H893" s="10"/>
      <c r="I893" s="10"/>
    </row>
    <row r="894" spans="1:9" x14ac:dyDescent="0.2">
      <c r="A894" s="245" t="s">
        <v>1003</v>
      </c>
      <c r="B894" s="126" t="s">
        <v>1905</v>
      </c>
      <c r="C894" s="10">
        <v>37735.61</v>
      </c>
      <c r="D894" s="10">
        <v>39933.14</v>
      </c>
      <c r="E894" s="10">
        <v>40627.370000000003</v>
      </c>
      <c r="F894" s="10">
        <v>41056.86</v>
      </c>
      <c r="G894" s="10">
        <v>43953.58</v>
      </c>
      <c r="H894" s="18">
        <v>44333</v>
      </c>
      <c r="I894" s="18">
        <v>46550</v>
      </c>
    </row>
    <row r="895" spans="1:9" x14ac:dyDescent="0.2">
      <c r="A895" s="245" t="s">
        <v>1004</v>
      </c>
      <c r="B895" s="126" t="s">
        <v>1901</v>
      </c>
      <c r="C895" s="10">
        <v>29272.1</v>
      </c>
      <c r="D895" s="10">
        <v>29493.81</v>
      </c>
      <c r="E895" s="10">
        <v>30068.01</v>
      </c>
      <c r="F895" s="10">
        <v>31436.080000000002</v>
      </c>
      <c r="G895" s="10">
        <v>33898.89</v>
      </c>
      <c r="H895" s="18">
        <v>34472</v>
      </c>
      <c r="I895" s="18">
        <v>36196</v>
      </c>
    </row>
    <row r="896" spans="1:9" x14ac:dyDescent="0.2">
      <c r="A896" s="245" t="s">
        <v>1086</v>
      </c>
      <c r="B896" s="126" t="s">
        <v>1984</v>
      </c>
      <c r="C896" s="10">
        <v>13416.41</v>
      </c>
      <c r="D896" s="10">
        <v>12835.88</v>
      </c>
      <c r="E896" s="10">
        <v>3539.67</v>
      </c>
      <c r="F896" s="10">
        <v>0</v>
      </c>
      <c r="G896" s="10">
        <v>0</v>
      </c>
      <c r="H896" s="18">
        <v>0</v>
      </c>
      <c r="I896" s="18">
        <f t="shared" ref="I896:I905" si="149">+H896</f>
        <v>0</v>
      </c>
    </row>
    <row r="897" spans="1:9" x14ac:dyDescent="0.2">
      <c r="A897" s="245" t="s">
        <v>1005</v>
      </c>
      <c r="B897" s="126" t="s">
        <v>1889</v>
      </c>
      <c r="C897" s="10">
        <v>0</v>
      </c>
      <c r="D897" s="10">
        <v>0</v>
      </c>
      <c r="E897" s="10">
        <v>228.36</v>
      </c>
      <c r="F897" s="10">
        <v>237.67</v>
      </c>
      <c r="G897" s="10">
        <v>309.27</v>
      </c>
      <c r="H897" s="18">
        <v>360</v>
      </c>
      <c r="I897" s="18">
        <v>600</v>
      </c>
    </row>
    <row r="898" spans="1:9" x14ac:dyDescent="0.2">
      <c r="A898" s="245" t="s">
        <v>1002</v>
      </c>
      <c r="B898" s="126" t="s">
        <v>1891</v>
      </c>
      <c r="C898" s="10">
        <v>5609.08</v>
      </c>
      <c r="D898" s="10">
        <v>5699.42</v>
      </c>
      <c r="E898" s="10">
        <v>5443.67</v>
      </c>
      <c r="F898" s="10">
        <v>5396.72</v>
      </c>
      <c r="G898" s="10">
        <v>5782.51</v>
      </c>
      <c r="H898" s="18">
        <v>6056</v>
      </c>
      <c r="I898" s="18">
        <v>6376</v>
      </c>
    </row>
    <row r="899" spans="1:9" x14ac:dyDescent="0.2">
      <c r="A899" s="245" t="s">
        <v>1006</v>
      </c>
      <c r="B899" s="126" t="s">
        <v>1892</v>
      </c>
      <c r="C899" s="10">
        <v>9418</v>
      </c>
      <c r="D899" s="10">
        <v>9759.39</v>
      </c>
      <c r="E899" s="10">
        <v>9159.6299999999992</v>
      </c>
      <c r="F899" s="10">
        <v>9048</v>
      </c>
      <c r="G899" s="10">
        <v>9723.16</v>
      </c>
      <c r="H899" s="18">
        <v>9848</v>
      </c>
      <c r="I899" s="18">
        <v>10376</v>
      </c>
    </row>
    <row r="900" spans="1:9" x14ac:dyDescent="0.2">
      <c r="A900" s="245" t="s">
        <v>1007</v>
      </c>
      <c r="B900" s="126" t="s">
        <v>1893</v>
      </c>
      <c r="C900" s="18">
        <v>13920</v>
      </c>
      <c r="D900" s="18">
        <v>15530</v>
      </c>
      <c r="E900" s="18">
        <v>13325</v>
      </c>
      <c r="F900" s="18">
        <v>15600</v>
      </c>
      <c r="G900" s="18">
        <v>15600</v>
      </c>
      <c r="H900" s="18">
        <v>15756</v>
      </c>
      <c r="I900" s="18">
        <v>15600</v>
      </c>
    </row>
    <row r="901" spans="1:9" x14ac:dyDescent="0.2">
      <c r="A901" s="245" t="s">
        <v>1008</v>
      </c>
      <c r="B901" s="126" t="s">
        <v>1895</v>
      </c>
      <c r="C901" s="18">
        <v>1549.42</v>
      </c>
      <c r="D901" s="18">
        <v>1187.31</v>
      </c>
      <c r="E901" s="18">
        <v>2633.4</v>
      </c>
      <c r="F901" s="18">
        <v>2071.69</v>
      </c>
      <c r="G901" s="18">
        <v>1273.74</v>
      </c>
      <c r="H901" s="18">
        <v>1500</v>
      </c>
      <c r="I901" s="18">
        <v>1500</v>
      </c>
    </row>
    <row r="902" spans="1:9" x14ac:dyDescent="0.2">
      <c r="A902" s="245" t="s">
        <v>1009</v>
      </c>
      <c r="B902" s="126" t="s">
        <v>1896</v>
      </c>
      <c r="C902" s="18">
        <v>237</v>
      </c>
      <c r="D902" s="18">
        <v>162.54</v>
      </c>
      <c r="E902" s="18">
        <v>199.7</v>
      </c>
      <c r="F902" s="18">
        <v>206.36</v>
      </c>
      <c r="G902" s="18">
        <v>183.39</v>
      </c>
      <c r="H902" s="18">
        <v>400</v>
      </c>
      <c r="I902" s="18">
        <v>300</v>
      </c>
    </row>
    <row r="903" spans="1:9" x14ac:dyDescent="0.2">
      <c r="A903" s="245" t="s">
        <v>1010</v>
      </c>
      <c r="B903" s="126" t="s">
        <v>1898</v>
      </c>
      <c r="C903" s="18">
        <v>1629.43</v>
      </c>
      <c r="D903" s="18">
        <v>1962.64</v>
      </c>
      <c r="E903" s="18">
        <v>1713.98</v>
      </c>
      <c r="F903" s="18">
        <v>761.04</v>
      </c>
      <c r="G903" s="18">
        <v>1722.26</v>
      </c>
      <c r="H903" s="18">
        <v>4300</v>
      </c>
      <c r="I903" s="18">
        <v>1700</v>
      </c>
    </row>
    <row r="904" spans="1:9" x14ac:dyDescent="0.2">
      <c r="A904" s="245" t="s">
        <v>1011</v>
      </c>
      <c r="B904" s="126" t="s">
        <v>1900</v>
      </c>
      <c r="C904" s="18">
        <v>0</v>
      </c>
      <c r="D904" s="18">
        <v>0</v>
      </c>
      <c r="E904" s="18">
        <v>3021.82</v>
      </c>
      <c r="F904" s="18">
        <v>784.11</v>
      </c>
      <c r="G904" s="18">
        <v>419.14</v>
      </c>
      <c r="H904" s="18">
        <v>1000</v>
      </c>
      <c r="I904" s="18">
        <f t="shared" si="149"/>
        <v>1000</v>
      </c>
    </row>
    <row r="905" spans="1:9" x14ac:dyDescent="0.2">
      <c r="A905" s="245" t="s">
        <v>1138</v>
      </c>
      <c r="B905" s="126" t="s">
        <v>1930</v>
      </c>
      <c r="C905" s="18">
        <v>18192</v>
      </c>
      <c r="D905" s="18">
        <v>18192</v>
      </c>
      <c r="E905" s="18">
        <v>18192</v>
      </c>
      <c r="F905" s="18">
        <v>18192</v>
      </c>
      <c r="G905" s="18">
        <v>18192</v>
      </c>
      <c r="H905" s="18">
        <v>18200</v>
      </c>
      <c r="I905" s="18">
        <f t="shared" si="149"/>
        <v>18200</v>
      </c>
    </row>
    <row r="906" spans="1:9" x14ac:dyDescent="0.2">
      <c r="A906" s="245" t="s">
        <v>179</v>
      </c>
      <c r="B906" s="126" t="s">
        <v>2037</v>
      </c>
      <c r="C906" s="18">
        <f>674725.59+53940</f>
        <v>728665.59</v>
      </c>
      <c r="D906" s="18">
        <v>734312.68</v>
      </c>
      <c r="E906" s="18">
        <v>740652.93</v>
      </c>
      <c r="F906" s="18">
        <v>758173.02</v>
      </c>
      <c r="G906" s="18">
        <v>753460.17</v>
      </c>
      <c r="H906" s="18">
        <v>1771430.91030289</v>
      </c>
      <c r="I906" s="18">
        <f>(intro!F372-intro!G379-intro!G382)*0.08</f>
        <v>2038577.2942152084</v>
      </c>
    </row>
    <row r="907" spans="1:9" x14ac:dyDescent="0.2">
      <c r="A907" s="245"/>
      <c r="B907" s="6" t="s">
        <v>1118</v>
      </c>
      <c r="C907" s="38">
        <f t="shared" ref="C907:G907" si="150">SUM(C894:C906)</f>
        <v>859644.6399999999</v>
      </c>
      <c r="D907" s="38">
        <f t="shared" si="150"/>
        <v>869068.81</v>
      </c>
      <c r="E907" s="38">
        <f t="shared" si="150"/>
        <v>868805.54</v>
      </c>
      <c r="F907" s="38">
        <f t="shared" si="150"/>
        <v>882963.55</v>
      </c>
      <c r="G907" s="38">
        <f t="shared" si="150"/>
        <v>884518.1100000001</v>
      </c>
      <c r="H907" s="38">
        <f t="shared" ref="H907:I907" si="151">SUM(H894:H906)</f>
        <v>1907655.91030289</v>
      </c>
      <c r="I907" s="38">
        <f t="shared" si="151"/>
        <v>2176975.2942152084</v>
      </c>
    </row>
    <row r="908" spans="1:9" x14ac:dyDescent="0.2">
      <c r="A908" s="245"/>
      <c r="B908" s="6"/>
      <c r="C908" s="10"/>
      <c r="E908" s="10"/>
      <c r="G908" s="10"/>
      <c r="H908" s="10"/>
      <c r="I908" s="10"/>
    </row>
    <row r="909" spans="1:9" x14ac:dyDescent="0.2">
      <c r="A909" s="251" t="s">
        <v>1012</v>
      </c>
      <c r="B909" s="4" t="s">
        <v>628</v>
      </c>
      <c r="C909" s="10"/>
      <c r="E909" s="10"/>
      <c r="G909" s="10"/>
      <c r="H909" s="10"/>
      <c r="I909" s="10"/>
    </row>
    <row r="910" spans="1:9" x14ac:dyDescent="0.2">
      <c r="A910" s="248" t="s">
        <v>1809</v>
      </c>
      <c r="B910" s="126" t="s">
        <v>1950</v>
      </c>
      <c r="C910" s="10">
        <v>0</v>
      </c>
      <c r="D910" s="10">
        <v>0</v>
      </c>
      <c r="E910" s="18">
        <v>5231</v>
      </c>
      <c r="F910" s="18">
        <v>5000</v>
      </c>
      <c r="G910" s="18">
        <v>5000</v>
      </c>
      <c r="H910" s="18">
        <v>5000</v>
      </c>
      <c r="I910" s="18">
        <f t="shared" ref="I910" si="152">+H910</f>
        <v>5000</v>
      </c>
    </row>
    <row r="911" spans="1:9" x14ac:dyDescent="0.2">
      <c r="A911" s="245" t="s">
        <v>1013</v>
      </c>
      <c r="B911" s="126" t="s">
        <v>1951</v>
      </c>
      <c r="C911" s="10">
        <v>65560</v>
      </c>
      <c r="D911" s="10">
        <f>65560+3900</f>
        <v>69460</v>
      </c>
      <c r="E911" s="10">
        <v>69460</v>
      </c>
      <c r="F911" s="10">
        <v>73951</v>
      </c>
      <c r="G911" s="10">
        <v>74000</v>
      </c>
      <c r="H911" s="18">
        <v>78000</v>
      </c>
      <c r="I911" s="18">
        <v>85000</v>
      </c>
    </row>
    <row r="912" spans="1:9" x14ac:dyDescent="0.2">
      <c r="A912" s="245" t="s">
        <v>1014</v>
      </c>
      <c r="B912" s="126" t="s">
        <v>1952</v>
      </c>
      <c r="C912" s="18">
        <v>8000</v>
      </c>
      <c r="D912" s="18">
        <v>8500</v>
      </c>
      <c r="E912" s="18">
        <v>8500</v>
      </c>
      <c r="F912" s="18">
        <v>11500</v>
      </c>
      <c r="G912" s="18">
        <f>8500+3000</f>
        <v>11500</v>
      </c>
      <c r="H912" s="18">
        <v>11500</v>
      </c>
      <c r="I912" s="18">
        <v>11500</v>
      </c>
    </row>
    <row r="913" spans="1:9" x14ac:dyDescent="0.2">
      <c r="A913" s="245" t="s">
        <v>1015</v>
      </c>
      <c r="B913" s="126" t="s">
        <v>1953</v>
      </c>
      <c r="C913" s="18">
        <v>1600</v>
      </c>
      <c r="D913" s="18">
        <v>1600</v>
      </c>
      <c r="E913" s="18">
        <v>0</v>
      </c>
      <c r="F913" s="18">
        <v>1600</v>
      </c>
      <c r="G913" s="18">
        <v>5000</v>
      </c>
      <c r="H913" s="18">
        <v>5000</v>
      </c>
      <c r="I913" s="18">
        <v>5500</v>
      </c>
    </row>
    <row r="914" spans="1:9" x14ac:dyDescent="0.2">
      <c r="A914" s="245" t="s">
        <v>1016</v>
      </c>
      <c r="B914" s="126" t="s">
        <v>1954</v>
      </c>
      <c r="C914" s="18">
        <v>8750</v>
      </c>
      <c r="D914" s="18">
        <v>8750</v>
      </c>
      <c r="E914" s="18">
        <f>8750+4000</f>
        <v>12750</v>
      </c>
      <c r="F914" s="18">
        <v>13000</v>
      </c>
      <c r="G914" s="18">
        <v>13000</v>
      </c>
      <c r="H914" s="18">
        <v>13000</v>
      </c>
      <c r="I914" s="18">
        <v>15000</v>
      </c>
    </row>
    <row r="915" spans="1:9" x14ac:dyDescent="0.2">
      <c r="A915" s="245" t="s">
        <v>1017</v>
      </c>
      <c r="B915" s="126" t="s">
        <v>1955</v>
      </c>
      <c r="C915" s="18">
        <v>2463.31</v>
      </c>
      <c r="D915" s="18">
        <v>2917.05</v>
      </c>
      <c r="E915" s="18">
        <v>2861.46</v>
      </c>
      <c r="F915" s="18">
        <v>2550.86</v>
      </c>
      <c r="G915" s="18">
        <v>3936.54</v>
      </c>
      <c r="H915" s="18">
        <v>5000</v>
      </c>
      <c r="I915" s="18">
        <v>8000</v>
      </c>
    </row>
    <row r="916" spans="1:9" x14ac:dyDescent="0.2">
      <c r="A916" s="245"/>
      <c r="B916" s="6" t="s">
        <v>1118</v>
      </c>
      <c r="C916" s="38">
        <f t="shared" ref="C916:D916" si="153">SUM(C910:C915)</f>
        <v>86373.31</v>
      </c>
      <c r="D916" s="38">
        <f t="shared" si="153"/>
        <v>91227.05</v>
      </c>
      <c r="E916" s="38">
        <f>SUM(E910:E915)</f>
        <v>98802.46</v>
      </c>
      <c r="F916" s="38">
        <f>SUM(F910:F915)</f>
        <v>107601.86</v>
      </c>
      <c r="G916" s="38">
        <f>SUM(G910:G915)</f>
        <v>112436.54</v>
      </c>
      <c r="H916" s="38">
        <f>SUM(H910:H915)</f>
        <v>117500</v>
      </c>
      <c r="I916" s="38">
        <f>SUM(I910:I915)</f>
        <v>130000</v>
      </c>
    </row>
    <row r="917" spans="1:9" x14ac:dyDescent="0.2">
      <c r="A917" s="245"/>
      <c r="B917" s="6"/>
      <c r="C917" s="10"/>
      <c r="E917" s="10"/>
      <c r="G917" s="10"/>
      <c r="H917" s="10"/>
      <c r="I917" s="10"/>
    </row>
    <row r="918" spans="1:9" x14ac:dyDescent="0.2">
      <c r="A918" s="251" t="s">
        <v>1018</v>
      </c>
      <c r="B918" s="4" t="s">
        <v>734</v>
      </c>
      <c r="C918" s="10"/>
      <c r="E918" s="10"/>
      <c r="G918" s="10"/>
      <c r="H918" s="10"/>
      <c r="I918" s="10"/>
    </row>
    <row r="919" spans="1:9" x14ac:dyDescent="0.2">
      <c r="A919" s="245" t="s">
        <v>1019</v>
      </c>
      <c r="B919" s="126" t="s">
        <v>1948</v>
      </c>
      <c r="C919" s="18">
        <v>15000</v>
      </c>
      <c r="D919" s="18">
        <v>15000</v>
      </c>
      <c r="E919" s="18">
        <v>15000</v>
      </c>
      <c r="F919" s="18">
        <v>15000</v>
      </c>
      <c r="G919" s="18">
        <v>15000</v>
      </c>
      <c r="H919" s="18">
        <v>15000</v>
      </c>
      <c r="I919" s="18">
        <v>17500</v>
      </c>
    </row>
    <row r="920" spans="1:9" x14ac:dyDescent="0.2">
      <c r="A920" s="245" t="s">
        <v>1339</v>
      </c>
      <c r="B920" s="126" t="s">
        <v>2397</v>
      </c>
      <c r="C920" s="18">
        <v>2500</v>
      </c>
      <c r="D920" s="18">
        <v>2500</v>
      </c>
      <c r="E920" s="18">
        <v>2500</v>
      </c>
      <c r="F920" s="18">
        <v>3342.87</v>
      </c>
      <c r="G920" s="18">
        <v>5475.36</v>
      </c>
      <c r="H920" s="18">
        <v>3500</v>
      </c>
      <c r="I920" s="18">
        <v>4500</v>
      </c>
    </row>
    <row r="921" spans="1:9" x14ac:dyDescent="0.2">
      <c r="A921" s="245" t="s">
        <v>2515</v>
      </c>
      <c r="B921" s="126" t="s">
        <v>2516</v>
      </c>
      <c r="C921" s="18"/>
      <c r="D921" s="18"/>
      <c r="E921" s="18"/>
      <c r="F921" s="18"/>
      <c r="G921" s="18"/>
      <c r="H921" s="18">
        <v>1000</v>
      </c>
      <c r="I921" s="18">
        <v>1000</v>
      </c>
    </row>
    <row r="922" spans="1:9" x14ac:dyDescent="0.2">
      <c r="A922" s="245" t="s">
        <v>1020</v>
      </c>
      <c r="B922" s="126" t="s">
        <v>1949</v>
      </c>
      <c r="C922" s="10">
        <v>1000</v>
      </c>
      <c r="D922" s="10">
        <v>0</v>
      </c>
      <c r="E922" s="10">
        <v>0</v>
      </c>
      <c r="F922" s="10">
        <v>0</v>
      </c>
      <c r="G922" s="10">
        <v>0</v>
      </c>
      <c r="H922" s="18">
        <v>0</v>
      </c>
      <c r="I922" s="18">
        <f t="shared" ref="I922" si="154">+H922</f>
        <v>0</v>
      </c>
    </row>
    <row r="923" spans="1:9" x14ac:dyDescent="0.2">
      <c r="A923" s="245"/>
      <c r="B923" s="6" t="s">
        <v>1118</v>
      </c>
      <c r="C923" s="38">
        <f t="shared" ref="C923:G923" si="155">SUM(C919:C922)</f>
        <v>18500</v>
      </c>
      <c r="D923" s="38">
        <f t="shared" si="155"/>
        <v>17500</v>
      </c>
      <c r="E923" s="38">
        <f t="shared" si="155"/>
        <v>17500</v>
      </c>
      <c r="F923" s="38">
        <f t="shared" si="155"/>
        <v>18342.87</v>
      </c>
      <c r="G923" s="38">
        <f t="shared" si="155"/>
        <v>20475.36</v>
      </c>
      <c r="H923" s="38">
        <f t="shared" ref="H923:I923" si="156">SUM(H919:H922)</f>
        <v>19500</v>
      </c>
      <c r="I923" s="38">
        <f t="shared" si="156"/>
        <v>23000</v>
      </c>
    </row>
    <row r="924" spans="1:9" x14ac:dyDescent="0.2">
      <c r="A924" s="245"/>
      <c r="C924" s="112" t="s">
        <v>1433</v>
      </c>
      <c r="D924" s="112" t="s">
        <v>1433</v>
      </c>
      <c r="E924" s="112" t="s">
        <v>1433</v>
      </c>
      <c r="F924" s="112" t="s">
        <v>1433</v>
      </c>
      <c r="G924" s="112" t="s">
        <v>1433</v>
      </c>
      <c r="H924" s="112" t="s">
        <v>1433</v>
      </c>
      <c r="I924" s="112" t="s">
        <v>1433</v>
      </c>
    </row>
    <row r="925" spans="1:9" x14ac:dyDescent="0.2">
      <c r="A925" s="251" t="s">
        <v>1021</v>
      </c>
      <c r="B925" s="4" t="s">
        <v>735</v>
      </c>
      <c r="C925" s="10"/>
      <c r="E925" s="10"/>
      <c r="G925" s="10"/>
      <c r="H925" s="10"/>
      <c r="I925" s="10"/>
    </row>
    <row r="926" spans="1:9" x14ac:dyDescent="0.2">
      <c r="A926" s="245" t="s">
        <v>1022</v>
      </c>
      <c r="B926" s="126" t="s">
        <v>1905</v>
      </c>
      <c r="C926" s="10">
        <v>36069.800000000003</v>
      </c>
      <c r="D926" s="10">
        <v>37669.839999999997</v>
      </c>
      <c r="E926" s="10">
        <v>39273.760000000002</v>
      </c>
      <c r="F926" s="10">
        <v>41670.199999999997</v>
      </c>
      <c r="G926" s="10">
        <v>44926.71</v>
      </c>
      <c r="H926" s="18">
        <v>46470</v>
      </c>
      <c r="I926" s="18">
        <f>24397+24397</f>
        <v>48794</v>
      </c>
    </row>
    <row r="927" spans="1:9" x14ac:dyDescent="0.2">
      <c r="A927" s="245" t="s">
        <v>2541</v>
      </c>
      <c r="B927" s="126" t="s">
        <v>2542</v>
      </c>
      <c r="C927" s="10">
        <v>0</v>
      </c>
      <c r="D927" s="10">
        <v>0</v>
      </c>
      <c r="E927" s="10">
        <v>0</v>
      </c>
      <c r="F927" s="10">
        <v>0</v>
      </c>
      <c r="G927" s="10">
        <v>0</v>
      </c>
      <c r="H927" s="18">
        <v>41768</v>
      </c>
      <c r="I927" s="18">
        <v>43856</v>
      </c>
    </row>
    <row r="928" spans="1:9" x14ac:dyDescent="0.2">
      <c r="A928" s="245" t="s">
        <v>630</v>
      </c>
      <c r="B928" s="126" t="s">
        <v>1904</v>
      </c>
      <c r="C928" s="18">
        <v>59388.160000000003</v>
      </c>
      <c r="D928" s="18">
        <v>57842.04</v>
      </c>
      <c r="E928" s="18">
        <v>52446.42</v>
      </c>
      <c r="F928" s="18">
        <v>63978.98</v>
      </c>
      <c r="G928" s="18">
        <v>68968.72</v>
      </c>
      <c r="H928" s="18">
        <v>70078</v>
      </c>
      <c r="I928" s="18">
        <f>33018+40564</f>
        <v>73582</v>
      </c>
    </row>
    <row r="929" spans="1:9" x14ac:dyDescent="0.2">
      <c r="A929" s="245" t="s">
        <v>2540</v>
      </c>
      <c r="B929" s="126" t="s">
        <v>2525</v>
      </c>
      <c r="C929" s="18">
        <v>0</v>
      </c>
      <c r="D929" s="18">
        <v>0</v>
      </c>
      <c r="E929" s="18">
        <v>0</v>
      </c>
      <c r="F929" s="18">
        <v>0</v>
      </c>
      <c r="G929" s="18">
        <v>0</v>
      </c>
      <c r="H929" s="18">
        <v>400</v>
      </c>
      <c r="I929" s="18">
        <v>400</v>
      </c>
    </row>
    <row r="930" spans="1:9" x14ac:dyDescent="0.2">
      <c r="A930" s="245" t="s">
        <v>631</v>
      </c>
      <c r="B930" s="126" t="s">
        <v>1889</v>
      </c>
      <c r="C930" s="10">
        <v>535.41</v>
      </c>
      <c r="D930" s="10">
        <v>1040.6300000000001</v>
      </c>
      <c r="E930" s="10">
        <v>537.71</v>
      </c>
      <c r="F930" s="10">
        <v>597.77</v>
      </c>
      <c r="G930" s="10">
        <v>682.96</v>
      </c>
      <c r="H930" s="18">
        <v>720</v>
      </c>
      <c r="I930" s="18">
        <v>780</v>
      </c>
    </row>
    <row r="931" spans="1:9" x14ac:dyDescent="0.2">
      <c r="A931" s="245" t="s">
        <v>633</v>
      </c>
      <c r="B931" s="126" t="s">
        <v>1891</v>
      </c>
      <c r="C931" s="18">
        <v>7327.25</v>
      </c>
      <c r="D931" s="18">
        <v>7354.06</v>
      </c>
      <c r="E931" s="18">
        <v>7106.11</v>
      </c>
      <c r="F931" s="18">
        <v>8308.2999999999993</v>
      </c>
      <c r="G931" s="18">
        <v>9030.82</v>
      </c>
      <c r="H931" s="18">
        <v>13298.454</v>
      </c>
      <c r="I931" s="18">
        <v>13955</v>
      </c>
    </row>
    <row r="932" spans="1:9" x14ac:dyDescent="0.2">
      <c r="A932" s="245" t="s">
        <v>634</v>
      </c>
      <c r="B932" s="126" t="s">
        <v>1892</v>
      </c>
      <c r="C932" s="18">
        <v>7018.2</v>
      </c>
      <c r="D932" s="18">
        <v>6984.74</v>
      </c>
      <c r="E932" s="18">
        <v>6546.41</v>
      </c>
      <c r="F932" s="18">
        <v>8033.74</v>
      </c>
      <c r="G932" s="18">
        <v>8666.1299999999992</v>
      </c>
      <c r="H932" s="18">
        <v>14052.9704</v>
      </c>
      <c r="I932" s="18">
        <v>22710</v>
      </c>
    </row>
    <row r="933" spans="1:9" x14ac:dyDescent="0.2">
      <c r="A933" s="245" t="s">
        <v>635</v>
      </c>
      <c r="B933" s="126" t="s">
        <v>1893</v>
      </c>
      <c r="C933" s="18">
        <v>20880</v>
      </c>
      <c r="D933" s="18">
        <v>21995</v>
      </c>
      <c r="E933" s="18">
        <v>15600</v>
      </c>
      <c r="F933" s="18">
        <v>15600</v>
      </c>
      <c r="G933" s="18">
        <v>15600</v>
      </c>
      <c r="H933" s="18">
        <v>23791</v>
      </c>
      <c r="I933" s="18">
        <v>23400</v>
      </c>
    </row>
    <row r="934" spans="1:9" x14ac:dyDescent="0.2">
      <c r="A934" s="245" t="s">
        <v>632</v>
      </c>
      <c r="B934" s="126" t="s">
        <v>1894</v>
      </c>
      <c r="C934" s="10">
        <v>9600.24</v>
      </c>
      <c r="D934" s="10">
        <v>9600.24</v>
      </c>
      <c r="E934" s="10">
        <v>9600.24</v>
      </c>
      <c r="F934" s="10">
        <v>9600.24</v>
      </c>
      <c r="G934" s="10">
        <v>9784.86</v>
      </c>
      <c r="H934" s="18">
        <v>14400</v>
      </c>
      <c r="I934" s="18">
        <v>15000</v>
      </c>
    </row>
    <row r="935" spans="1:9" x14ac:dyDescent="0.2">
      <c r="A935" s="245" t="s">
        <v>636</v>
      </c>
      <c r="B935" s="126" t="s">
        <v>1895</v>
      </c>
      <c r="C935" s="10">
        <v>1884.02</v>
      </c>
      <c r="D935" s="10">
        <v>2152.87</v>
      </c>
      <c r="E935" s="10">
        <v>2116.17</v>
      </c>
      <c r="F935" s="10">
        <v>2443.56</v>
      </c>
      <c r="G935" s="10">
        <v>2442.67</v>
      </c>
      <c r="H935" s="18">
        <v>3500</v>
      </c>
      <c r="I935" s="18">
        <v>3500</v>
      </c>
    </row>
    <row r="936" spans="1:9" x14ac:dyDescent="0.2">
      <c r="A936" s="245" t="s">
        <v>637</v>
      </c>
      <c r="B936" s="126" t="s">
        <v>1947</v>
      </c>
      <c r="C936" s="10">
        <v>11120.9</v>
      </c>
      <c r="D936" s="10">
        <v>11247.89</v>
      </c>
      <c r="E936" s="10">
        <v>3407.68</v>
      </c>
      <c r="F936" s="10">
        <v>6176.1</v>
      </c>
      <c r="G936" s="10">
        <v>9253.27</v>
      </c>
      <c r="H936" s="18">
        <v>11100</v>
      </c>
      <c r="I936" s="18">
        <v>26885</v>
      </c>
    </row>
    <row r="937" spans="1:9" x14ac:dyDescent="0.2">
      <c r="A937" s="248" t="s">
        <v>2622</v>
      </c>
      <c r="B937" s="126" t="s">
        <v>2623</v>
      </c>
      <c r="C937" s="10">
        <v>0</v>
      </c>
      <c r="D937" s="10">
        <v>0</v>
      </c>
      <c r="E937" s="10">
        <v>0</v>
      </c>
      <c r="F937" s="10">
        <v>0</v>
      </c>
      <c r="G937" s="10">
        <v>0</v>
      </c>
      <c r="H937" s="18">
        <v>0</v>
      </c>
      <c r="I937" s="18">
        <v>1500</v>
      </c>
    </row>
    <row r="938" spans="1:9" x14ac:dyDescent="0.2">
      <c r="A938" s="245" t="s">
        <v>638</v>
      </c>
      <c r="B938" s="126" t="s">
        <v>1900</v>
      </c>
      <c r="C938" s="18">
        <v>600</v>
      </c>
      <c r="D938" s="18">
        <v>174</v>
      </c>
      <c r="E938" s="18">
        <v>8550.8799999999992</v>
      </c>
      <c r="F938" s="18">
        <v>0</v>
      </c>
      <c r="G938" s="18">
        <v>1845</v>
      </c>
      <c r="H938" s="18">
        <v>9400</v>
      </c>
      <c r="I938" s="18">
        <v>9920</v>
      </c>
    </row>
    <row r="939" spans="1:9" x14ac:dyDescent="0.2">
      <c r="A939" s="245"/>
      <c r="B939" s="6" t="s">
        <v>1118</v>
      </c>
      <c r="C939" s="38">
        <f t="shared" ref="C939:G939" si="157">SUM(C926:C938)</f>
        <v>154423.97999999998</v>
      </c>
      <c r="D939" s="38">
        <f t="shared" si="157"/>
        <v>156061.31</v>
      </c>
      <c r="E939" s="38">
        <f t="shared" si="157"/>
        <v>145185.38</v>
      </c>
      <c r="F939" s="38">
        <f t="shared" si="157"/>
        <v>156408.88999999998</v>
      </c>
      <c r="G939" s="38">
        <f t="shared" si="157"/>
        <v>171201.14</v>
      </c>
      <c r="H939" s="38">
        <f t="shared" ref="H939:I939" si="158">SUM(H926:H938)</f>
        <v>248978.42439999999</v>
      </c>
      <c r="I939" s="38">
        <f t="shared" si="158"/>
        <v>284282</v>
      </c>
    </row>
    <row r="940" spans="1:9" x14ac:dyDescent="0.2">
      <c r="A940" s="245"/>
      <c r="B940" s="4" t="s">
        <v>653</v>
      </c>
      <c r="C940" s="112" t="s">
        <v>1433</v>
      </c>
      <c r="D940" s="112" t="s">
        <v>1433</v>
      </c>
      <c r="E940" s="112" t="s">
        <v>1433</v>
      </c>
      <c r="F940" s="112" t="s">
        <v>1433</v>
      </c>
      <c r="G940" s="222" t="s">
        <v>1433</v>
      </c>
      <c r="H940" s="112" t="s">
        <v>1433</v>
      </c>
      <c r="I940" s="112" t="s">
        <v>1433</v>
      </c>
    </row>
    <row r="941" spans="1:9" x14ac:dyDescent="0.2">
      <c r="A941" s="245"/>
      <c r="B941" s="4" t="s">
        <v>980</v>
      </c>
      <c r="C941" s="112" t="s">
        <v>1433</v>
      </c>
      <c r="D941" s="112" t="s">
        <v>1433</v>
      </c>
      <c r="E941" s="112" t="s">
        <v>1433</v>
      </c>
      <c r="F941" s="112" t="s">
        <v>1433</v>
      </c>
      <c r="G941" s="222" t="s">
        <v>1433</v>
      </c>
      <c r="H941" s="112" t="s">
        <v>1433</v>
      </c>
      <c r="I941" s="112" t="s">
        <v>1433</v>
      </c>
    </row>
    <row r="942" spans="1:9" x14ac:dyDescent="0.2">
      <c r="A942" s="245"/>
      <c r="B942" s="4" t="s">
        <v>138</v>
      </c>
      <c r="C942" s="112" t="s">
        <v>1433</v>
      </c>
      <c r="D942" s="112" t="s">
        <v>1433</v>
      </c>
      <c r="E942" s="112" t="s">
        <v>1433</v>
      </c>
      <c r="F942" s="112" t="s">
        <v>1433</v>
      </c>
      <c r="G942" s="222" t="s">
        <v>1433</v>
      </c>
      <c r="H942" s="112" t="s">
        <v>1433</v>
      </c>
      <c r="I942" s="112" t="s">
        <v>1433</v>
      </c>
    </row>
    <row r="943" spans="1:9" x14ac:dyDescent="0.2">
      <c r="A943" s="245"/>
      <c r="C943" s="129" t="str">
        <f>+$C$4</f>
        <v>2018 ACTUAL</v>
      </c>
      <c r="D943" s="129" t="str">
        <f t="shared" ref="D943:I943" si="159">+D$4</f>
        <v>2019 ACTUAL</v>
      </c>
      <c r="E943" s="129" t="str">
        <f t="shared" si="159"/>
        <v>2020 ACTUAL</v>
      </c>
      <c r="F943" s="129" t="str">
        <f t="shared" si="159"/>
        <v>2021 ACTUAL</v>
      </c>
      <c r="G943" s="223" t="str">
        <f t="shared" si="159"/>
        <v>2022 ACTUAL</v>
      </c>
      <c r="H943" s="129" t="str">
        <f t="shared" si="159"/>
        <v xml:space="preserve">2023 BUDGET </v>
      </c>
      <c r="I943" s="129" t="str">
        <f t="shared" si="159"/>
        <v xml:space="preserve">2024 BUDGET </v>
      </c>
    </row>
    <row r="944" spans="1:9" x14ac:dyDescent="0.2">
      <c r="A944" s="251" t="s">
        <v>639</v>
      </c>
      <c r="B944" s="4" t="s">
        <v>1519</v>
      </c>
      <c r="C944" s="10"/>
      <c r="E944" s="10"/>
      <c r="G944" s="115"/>
      <c r="H944" s="10"/>
      <c r="I944" s="10"/>
    </row>
    <row r="945" spans="1:9" x14ac:dyDescent="0.2">
      <c r="A945" s="248" t="s">
        <v>2042</v>
      </c>
      <c r="B945" s="126" t="s">
        <v>2043</v>
      </c>
      <c r="C945" s="17">
        <v>0</v>
      </c>
      <c r="D945" s="17">
        <v>-1250</v>
      </c>
      <c r="E945" s="17">
        <v>0</v>
      </c>
      <c r="F945" s="17">
        <v>0</v>
      </c>
      <c r="G945" s="220">
        <v>0</v>
      </c>
      <c r="H945" s="18">
        <f t="shared" ref="H945:I951" si="160">+G945</f>
        <v>0</v>
      </c>
      <c r="I945" s="18">
        <f t="shared" si="160"/>
        <v>0</v>
      </c>
    </row>
    <row r="946" spans="1:9" x14ac:dyDescent="0.2">
      <c r="A946" s="245" t="s">
        <v>414</v>
      </c>
      <c r="B946" s="126" t="s">
        <v>1941</v>
      </c>
      <c r="C946" s="17">
        <v>0</v>
      </c>
      <c r="D946" s="17">
        <v>0</v>
      </c>
      <c r="E946" s="17">
        <v>0</v>
      </c>
      <c r="F946" s="17">
        <v>0</v>
      </c>
      <c r="G946" s="220">
        <v>0</v>
      </c>
      <c r="H946" s="18">
        <f t="shared" si="160"/>
        <v>0</v>
      </c>
      <c r="I946" s="18">
        <f t="shared" si="160"/>
        <v>0</v>
      </c>
    </row>
    <row r="947" spans="1:9" x14ac:dyDescent="0.2">
      <c r="A947" s="245" t="s">
        <v>640</v>
      </c>
      <c r="B947" s="126" t="s">
        <v>1942</v>
      </c>
      <c r="C947" s="17">
        <v>81000</v>
      </c>
      <c r="D947" s="17">
        <v>81000</v>
      </c>
      <c r="E947" s="17">
        <v>81000</v>
      </c>
      <c r="F947" s="17">
        <v>10000</v>
      </c>
      <c r="G947" s="220">
        <v>0</v>
      </c>
      <c r="H947" s="18">
        <v>95000</v>
      </c>
      <c r="I947" s="18">
        <v>55000</v>
      </c>
    </row>
    <row r="948" spans="1:9" x14ac:dyDescent="0.2">
      <c r="A948" s="245" t="s">
        <v>642</v>
      </c>
      <c r="B948" s="126" t="s">
        <v>1943</v>
      </c>
      <c r="C948" s="17">
        <v>0</v>
      </c>
      <c r="D948" s="17">
        <v>0</v>
      </c>
      <c r="E948" s="17">
        <v>0</v>
      </c>
      <c r="F948" s="17">
        <v>0</v>
      </c>
      <c r="G948" s="220">
        <v>0</v>
      </c>
      <c r="H948" s="18">
        <f t="shared" si="160"/>
        <v>0</v>
      </c>
      <c r="I948" s="18">
        <f t="shared" si="160"/>
        <v>0</v>
      </c>
    </row>
    <row r="949" spans="1:9" x14ac:dyDescent="0.2">
      <c r="A949" s="245" t="s">
        <v>644</v>
      </c>
      <c r="B949" s="126" t="s">
        <v>1944</v>
      </c>
      <c r="C949" s="17">
        <v>0</v>
      </c>
      <c r="D949" s="17">
        <v>0</v>
      </c>
      <c r="E949" s="17">
        <v>0</v>
      </c>
      <c r="F949" s="17">
        <v>0</v>
      </c>
      <c r="G949" s="220">
        <v>0</v>
      </c>
      <c r="H949" s="18">
        <f t="shared" si="160"/>
        <v>0</v>
      </c>
      <c r="I949" s="18">
        <f t="shared" si="160"/>
        <v>0</v>
      </c>
    </row>
    <row r="950" spans="1:9" x14ac:dyDescent="0.2">
      <c r="A950" s="245" t="s">
        <v>641</v>
      </c>
      <c r="B950" s="126" t="s">
        <v>1945</v>
      </c>
      <c r="C950" s="17">
        <v>0</v>
      </c>
      <c r="D950" s="17">
        <v>0</v>
      </c>
      <c r="E950" s="17">
        <v>0</v>
      </c>
      <c r="F950" s="17">
        <v>0</v>
      </c>
      <c r="G950" s="220">
        <v>0</v>
      </c>
      <c r="H950" s="18">
        <v>0</v>
      </c>
      <c r="I950" s="18">
        <v>0</v>
      </c>
    </row>
    <row r="951" spans="1:9" x14ac:dyDescent="0.2">
      <c r="A951" s="245" t="s">
        <v>643</v>
      </c>
      <c r="B951" s="126" t="s">
        <v>1946</v>
      </c>
      <c r="C951" s="17">
        <v>0</v>
      </c>
      <c r="D951" s="17">
        <v>0</v>
      </c>
      <c r="E951" s="17">
        <v>0</v>
      </c>
      <c r="F951" s="17">
        <v>0</v>
      </c>
      <c r="G951" s="220">
        <v>0</v>
      </c>
      <c r="H951" s="18">
        <f t="shared" si="160"/>
        <v>0</v>
      </c>
      <c r="I951" s="18">
        <f t="shared" si="160"/>
        <v>0</v>
      </c>
    </row>
    <row r="952" spans="1:9" x14ac:dyDescent="0.2">
      <c r="A952" s="245"/>
      <c r="B952" s="6" t="s">
        <v>1118</v>
      </c>
      <c r="C952" s="38">
        <f t="shared" ref="C952:G952" si="161">SUM(C945:C951)</f>
        <v>81000</v>
      </c>
      <c r="D952" s="38">
        <f t="shared" si="161"/>
        <v>79750</v>
      </c>
      <c r="E952" s="38">
        <f t="shared" si="161"/>
        <v>81000</v>
      </c>
      <c r="F952" s="38">
        <f t="shared" si="161"/>
        <v>10000</v>
      </c>
      <c r="G952" s="224">
        <f t="shared" si="161"/>
        <v>0</v>
      </c>
      <c r="H952" s="38">
        <f t="shared" ref="H952:I952" si="162">SUM(H945:H951)</f>
        <v>95000</v>
      </c>
      <c r="I952" s="38">
        <f t="shared" si="162"/>
        <v>55000</v>
      </c>
    </row>
    <row r="953" spans="1:9" x14ac:dyDescent="0.2">
      <c r="A953" s="245"/>
      <c r="B953" s="6"/>
      <c r="C953" s="10"/>
      <c r="E953" s="10"/>
      <c r="G953" s="115"/>
      <c r="H953" s="10"/>
      <c r="I953" s="10"/>
    </row>
    <row r="954" spans="1:9" x14ac:dyDescent="0.2">
      <c r="A954" s="251" t="s">
        <v>645</v>
      </c>
      <c r="B954" s="4" t="s">
        <v>1340</v>
      </c>
      <c r="C954" s="10"/>
      <c r="E954" s="10"/>
      <c r="G954" s="10"/>
      <c r="H954" s="10"/>
      <c r="I954" s="10"/>
    </row>
    <row r="955" spans="1:9" x14ac:dyDescent="0.2">
      <c r="A955" s="245" t="s">
        <v>524</v>
      </c>
      <c r="B955" s="126" t="s">
        <v>1878</v>
      </c>
      <c r="C955" s="10">
        <v>27453.1</v>
      </c>
      <c r="D955" s="10">
        <v>33092.51</v>
      </c>
      <c r="E955" s="10">
        <f>20158.07+6</f>
        <v>20164.07</v>
      </c>
      <c r="F955" s="10">
        <v>27314.400000000001</v>
      </c>
      <c r="G955" s="10">
        <v>34300.080000000002</v>
      </c>
      <c r="H955" s="18">
        <v>35000</v>
      </c>
      <c r="I955" s="18">
        <f t="shared" ref="H955:I959" si="163">+H955</f>
        <v>35000</v>
      </c>
    </row>
    <row r="956" spans="1:9" x14ac:dyDescent="0.2">
      <c r="A956" s="245" t="s">
        <v>646</v>
      </c>
      <c r="B956" s="126" t="s">
        <v>1937</v>
      </c>
      <c r="C956" s="10">
        <v>3666.67</v>
      </c>
      <c r="D956" s="10">
        <v>3713.91</v>
      </c>
      <c r="E956" s="10">
        <v>2963.91</v>
      </c>
      <c r="F956" s="10">
        <v>4244.66</v>
      </c>
      <c r="G956" s="10">
        <v>6833.36</v>
      </c>
      <c r="H956" s="18">
        <v>30000</v>
      </c>
      <c r="I956" s="18">
        <v>30000</v>
      </c>
    </row>
    <row r="957" spans="1:9" x14ac:dyDescent="0.2">
      <c r="A957" s="245" t="s">
        <v>521</v>
      </c>
      <c r="B957" s="126" t="s">
        <v>1938</v>
      </c>
      <c r="C957" s="10">
        <v>0</v>
      </c>
      <c r="D957" s="10">
        <v>0</v>
      </c>
      <c r="E957" s="10">
        <v>0</v>
      </c>
      <c r="F957" s="10">
        <v>0</v>
      </c>
      <c r="G957" s="10">
        <v>0</v>
      </c>
      <c r="H957" s="18">
        <f t="shared" si="163"/>
        <v>0</v>
      </c>
      <c r="I957" s="18">
        <f t="shared" si="163"/>
        <v>0</v>
      </c>
    </row>
    <row r="958" spans="1:9" x14ac:dyDescent="0.2">
      <c r="A958" s="245" t="s">
        <v>522</v>
      </c>
      <c r="B958" s="126" t="s">
        <v>1939</v>
      </c>
      <c r="C958" s="10">
        <v>2000</v>
      </c>
      <c r="D958" s="10">
        <v>4000</v>
      </c>
      <c r="E958" s="10">
        <v>4000</v>
      </c>
      <c r="F958" s="10">
        <v>4000</v>
      </c>
      <c r="G958" s="10">
        <v>4000</v>
      </c>
      <c r="H958" s="18">
        <f t="shared" si="163"/>
        <v>4000</v>
      </c>
      <c r="I958" s="18">
        <f t="shared" si="163"/>
        <v>4000</v>
      </c>
    </row>
    <row r="959" spans="1:9" x14ac:dyDescent="0.2">
      <c r="A959" s="245" t="s">
        <v>523</v>
      </c>
      <c r="B959" s="126" t="s">
        <v>1940</v>
      </c>
      <c r="C959" s="19">
        <v>6000</v>
      </c>
      <c r="D959" s="19">
        <v>5750</v>
      </c>
      <c r="E959" s="19">
        <v>5750</v>
      </c>
      <c r="F959" s="19">
        <v>5750</v>
      </c>
      <c r="G959" s="19">
        <v>5750</v>
      </c>
      <c r="H959" s="18">
        <v>6000</v>
      </c>
      <c r="I959" s="18">
        <f t="shared" si="163"/>
        <v>6000</v>
      </c>
    </row>
    <row r="960" spans="1:9" x14ac:dyDescent="0.2">
      <c r="A960" s="245"/>
      <c r="B960" s="6" t="s">
        <v>1118</v>
      </c>
      <c r="C960" s="38">
        <f t="shared" ref="C960:G960" si="164">SUM(C955:C959)</f>
        <v>39119.769999999997</v>
      </c>
      <c r="D960" s="38">
        <f t="shared" si="164"/>
        <v>46556.42</v>
      </c>
      <c r="E960" s="38">
        <f t="shared" si="164"/>
        <v>32877.979999999996</v>
      </c>
      <c r="F960" s="38">
        <f t="shared" si="164"/>
        <v>41309.06</v>
      </c>
      <c r="G960" s="38">
        <f t="shared" si="164"/>
        <v>50883.44</v>
      </c>
      <c r="H960" s="38">
        <f t="shared" ref="H960:I960" si="165">SUM(H955:H959)</f>
        <v>75000</v>
      </c>
      <c r="I960" s="38">
        <f t="shared" si="165"/>
        <v>75000</v>
      </c>
    </row>
    <row r="961" spans="1:9" x14ac:dyDescent="0.2">
      <c r="C961" s="10"/>
      <c r="E961" s="10"/>
      <c r="G961" s="10"/>
      <c r="H961" s="10"/>
      <c r="I961" s="10"/>
    </row>
    <row r="962" spans="1:9" ht="13.5" thickBot="1" x14ac:dyDescent="0.25">
      <c r="A962" s="245"/>
      <c r="B962" s="6" t="s">
        <v>1341</v>
      </c>
      <c r="C962" s="36">
        <f t="shared" ref="C962:I962" si="166">C149+C165+C186+C202+C226+C262+C278+C299+C308+C326+C357+C377+C398+C417+C435+C450+C468+C485+C505+C526+C543+C565+C594+C631+C652+C677+C697+C717+C764+C794+C824+C841+C854+C865+C887+C907+C916+C923+C939+C952+C960+C127</f>
        <v>19136294.34</v>
      </c>
      <c r="D962" s="36">
        <f t="shared" si="166"/>
        <v>19762537.362</v>
      </c>
      <c r="E962" s="36">
        <f t="shared" si="166"/>
        <v>20516148.969999995</v>
      </c>
      <c r="F962" s="36">
        <f t="shared" si="166"/>
        <v>21400459.809999995</v>
      </c>
      <c r="G962" s="36">
        <f t="shared" si="166"/>
        <v>22531418.614</v>
      </c>
      <c r="H962" s="36">
        <f t="shared" si="166"/>
        <v>26528597.456202887</v>
      </c>
      <c r="I962" s="36">
        <f t="shared" si="166"/>
        <v>29114777.29621521</v>
      </c>
    </row>
    <row r="963" spans="1:9" ht="13.5" thickTop="1" x14ac:dyDescent="0.2">
      <c r="A963" s="245"/>
      <c r="B963" s="6"/>
      <c r="C963" s="10"/>
      <c r="E963" s="10"/>
      <c r="G963" s="10"/>
      <c r="H963" s="10"/>
      <c r="I963" s="10"/>
    </row>
    <row r="964" spans="1:9" x14ac:dyDescent="0.2">
      <c r="A964" s="245"/>
      <c r="B964" s="6"/>
      <c r="C964" s="10"/>
      <c r="E964" s="10"/>
      <c r="G964" s="10"/>
      <c r="H964" s="10"/>
      <c r="I964" s="10"/>
    </row>
    <row r="965" spans="1:9" x14ac:dyDescent="0.2">
      <c r="A965" s="245"/>
      <c r="B965" s="6"/>
      <c r="C965" s="10"/>
      <c r="E965" s="10"/>
      <c r="G965" s="115"/>
      <c r="H965" s="10"/>
      <c r="I965" s="10"/>
    </row>
    <row r="966" spans="1:9" x14ac:dyDescent="0.2">
      <c r="A966" s="245"/>
      <c r="B966" s="4" t="s">
        <v>1342</v>
      </c>
      <c r="C966" s="10"/>
      <c r="E966" s="10"/>
      <c r="G966" s="115"/>
      <c r="H966" s="10"/>
      <c r="I966" s="10"/>
    </row>
    <row r="967" spans="1:9" ht="12.75" customHeight="1" x14ac:dyDescent="0.2">
      <c r="A967" s="245"/>
      <c r="B967" s="4" t="s">
        <v>981</v>
      </c>
      <c r="C967" s="10"/>
      <c r="E967" s="10"/>
      <c r="G967" s="115"/>
      <c r="H967" s="10"/>
      <c r="I967" s="10"/>
    </row>
    <row r="968" spans="1:9" x14ac:dyDescent="0.2">
      <c r="A968" s="245"/>
      <c r="B968" s="4" t="s">
        <v>1343</v>
      </c>
      <c r="C968" s="129" t="str">
        <f t="shared" ref="C968:I968" si="167">+C$4</f>
        <v>2018 ACTUAL</v>
      </c>
      <c r="D968" s="129" t="str">
        <f t="shared" si="167"/>
        <v>2019 ACTUAL</v>
      </c>
      <c r="E968" s="129" t="str">
        <f t="shared" si="167"/>
        <v>2020 ACTUAL</v>
      </c>
      <c r="F968" s="129" t="str">
        <f t="shared" si="167"/>
        <v>2021 ACTUAL</v>
      </c>
      <c r="G968" s="223" t="str">
        <f t="shared" si="167"/>
        <v>2022 ACTUAL</v>
      </c>
      <c r="H968" s="129" t="str">
        <f t="shared" si="167"/>
        <v xml:space="preserve">2023 BUDGET </v>
      </c>
      <c r="I968" s="129" t="str">
        <f t="shared" si="167"/>
        <v xml:space="preserve">2024 BUDGET </v>
      </c>
    </row>
    <row r="969" spans="1:9" x14ac:dyDescent="0.2">
      <c r="C969" s="10"/>
      <c r="E969" s="10"/>
      <c r="G969" s="115"/>
      <c r="H969" s="10"/>
      <c r="I969" s="10"/>
    </row>
    <row r="970" spans="1:9" x14ac:dyDescent="0.2">
      <c r="A970" s="245"/>
      <c r="B970" t="s">
        <v>1344</v>
      </c>
      <c r="C970" s="115">
        <v>5310680.3</v>
      </c>
      <c r="D970" s="10">
        <f t="shared" ref="D970:I970" si="168">C978</f>
        <v>6532747.7299999967</v>
      </c>
      <c r="E970" s="10">
        <f t="shared" si="168"/>
        <v>7951643.4579999968</v>
      </c>
      <c r="F970" s="10">
        <f t="shared" si="168"/>
        <v>10504608.197999999</v>
      </c>
      <c r="G970" s="10">
        <f t="shared" si="168"/>
        <v>13533210.028000005</v>
      </c>
      <c r="H970" s="10">
        <f t="shared" si="168"/>
        <v>14914037.323999994</v>
      </c>
      <c r="I970" s="10">
        <f t="shared" si="168"/>
        <v>12085543.267797105</v>
      </c>
    </row>
    <row r="971" spans="1:9" x14ac:dyDescent="0.2">
      <c r="A971" s="245"/>
      <c r="C971" s="115"/>
      <c r="E971" s="10"/>
      <c r="G971" s="10"/>
      <c r="H971" s="10"/>
      <c r="I971" s="10"/>
    </row>
    <row r="972" spans="1:9" x14ac:dyDescent="0.2">
      <c r="A972" s="245"/>
      <c r="B972" t="s">
        <v>1345</v>
      </c>
      <c r="C972" s="115">
        <f t="shared" ref="C972:I972" si="169">C119</f>
        <v>20408361.769999996</v>
      </c>
      <c r="D972" s="10">
        <f t="shared" si="169"/>
        <v>21181433.09</v>
      </c>
      <c r="E972" s="10">
        <f t="shared" si="169"/>
        <v>23069113.709999997</v>
      </c>
      <c r="F972" s="10">
        <f t="shared" si="169"/>
        <v>24429061.640000001</v>
      </c>
      <c r="G972" s="10">
        <f t="shared" si="169"/>
        <v>23912245.909999993</v>
      </c>
      <c r="H972" s="10">
        <f t="shared" si="169"/>
        <v>23700103.399999999</v>
      </c>
      <c r="I972" s="10">
        <f t="shared" si="169"/>
        <v>28091250.399243839</v>
      </c>
    </row>
    <row r="973" spans="1:9" x14ac:dyDescent="0.2">
      <c r="A973" s="245"/>
      <c r="C973" s="115"/>
      <c r="E973" s="10"/>
      <c r="G973" s="10"/>
      <c r="H973" s="10"/>
      <c r="I973" s="10"/>
    </row>
    <row r="974" spans="1:9" x14ac:dyDescent="0.2">
      <c r="A974" s="245"/>
      <c r="B974" t="s">
        <v>1346</v>
      </c>
      <c r="C974" s="115">
        <f t="shared" ref="C974:H974" si="170">(C962)</f>
        <v>19136294.34</v>
      </c>
      <c r="D974" s="10">
        <f t="shared" si="170"/>
        <v>19762537.362</v>
      </c>
      <c r="E974" s="10">
        <f t="shared" si="170"/>
        <v>20516148.969999995</v>
      </c>
      <c r="F974" s="10">
        <f t="shared" si="170"/>
        <v>21400459.809999995</v>
      </c>
      <c r="G974" s="10">
        <f t="shared" si="170"/>
        <v>22531418.614</v>
      </c>
      <c r="H974" s="10">
        <f t="shared" si="170"/>
        <v>26528597.456202887</v>
      </c>
      <c r="I974" s="10">
        <f t="shared" ref="I974" si="171">(I962)</f>
        <v>29114777.29621521</v>
      </c>
    </row>
    <row r="975" spans="1:9" x14ac:dyDescent="0.2">
      <c r="A975" s="245"/>
      <c r="C975" s="115"/>
      <c r="E975" s="10"/>
      <c r="G975" s="10"/>
      <c r="H975" s="10"/>
      <c r="I975" s="10"/>
    </row>
    <row r="976" spans="1:9" x14ac:dyDescent="0.2">
      <c r="A976" s="245"/>
      <c r="B976" t="s">
        <v>1347</v>
      </c>
      <c r="C976" s="221">
        <v>-50000</v>
      </c>
      <c r="D976" s="12">
        <v>0</v>
      </c>
      <c r="E976" s="12">
        <v>0</v>
      </c>
      <c r="F976" s="12">
        <v>0</v>
      </c>
      <c r="G976" s="12">
        <v>0</v>
      </c>
      <c r="H976" s="12">
        <v>0</v>
      </c>
      <c r="I976" s="12">
        <v>0</v>
      </c>
    </row>
    <row r="977" spans="1:9" x14ac:dyDescent="0.2">
      <c r="A977" s="245"/>
      <c r="C977" s="115"/>
      <c r="E977" s="10"/>
      <c r="G977" s="10"/>
      <c r="H977" s="10"/>
      <c r="I977" s="10"/>
    </row>
    <row r="978" spans="1:9" ht="13.5" thickBot="1" x14ac:dyDescent="0.25">
      <c r="A978" s="245"/>
      <c r="B978" t="s">
        <v>1348</v>
      </c>
      <c r="C978" s="225">
        <f t="shared" ref="C978:G978" si="172">C970+C972-C974+C976</f>
        <v>6532747.7299999967</v>
      </c>
      <c r="D978" s="36">
        <f t="shared" si="172"/>
        <v>7951643.4579999968</v>
      </c>
      <c r="E978" s="36">
        <f t="shared" si="172"/>
        <v>10504608.197999999</v>
      </c>
      <c r="F978" s="36">
        <f t="shared" si="172"/>
        <v>13533210.028000005</v>
      </c>
      <c r="G978" s="36">
        <f t="shared" si="172"/>
        <v>14914037.323999994</v>
      </c>
      <c r="H978" s="36">
        <f t="shared" ref="H978:I978" si="173">H970+H972-H974+H976</f>
        <v>12085543.267797105</v>
      </c>
      <c r="I978" s="36">
        <f t="shared" si="173"/>
        <v>11062016.370825734</v>
      </c>
    </row>
    <row r="979" spans="1:9" ht="13.5" thickTop="1" x14ac:dyDescent="0.2">
      <c r="C979" s="115"/>
    </row>
    <row r="980" spans="1:9" x14ac:dyDescent="0.2">
      <c r="C980" s="115"/>
      <c r="E980" s="10"/>
      <c r="G980" s="137"/>
    </row>
    <row r="981" spans="1:9" x14ac:dyDescent="0.2">
      <c r="C981" s="115"/>
      <c r="E981" s="137"/>
      <c r="G981" s="137"/>
    </row>
    <row r="982" spans="1:9" x14ac:dyDescent="0.2">
      <c r="G982" s="137"/>
    </row>
    <row r="983" spans="1:9" x14ac:dyDescent="0.2">
      <c r="E983" s="29"/>
      <c r="G983" s="137"/>
    </row>
    <row r="984" spans="1:9" x14ac:dyDescent="0.2">
      <c r="F984" s="200"/>
    </row>
  </sheetData>
  <phoneticPr fontId="2" type="noConversion"/>
  <printOptions horizontalCentered="1"/>
  <pageMargins left="0.5" right="0.25" top="0.5" bottom="0.5" header="0.5" footer="0.25"/>
  <pageSetup scale="85" fitToWidth="0" fitToHeight="0" orientation="portrait" useFirstPageNumber="1" r:id="rId1"/>
  <headerFooter alignWithMargins="0">
    <oddFooter>&amp;C&amp;P</oddFooter>
  </headerFooter>
  <rowBreaks count="17" manualBreakCount="17">
    <brk id="68" max="16383" man="1"/>
    <brk id="120" max="16383" man="1"/>
    <brk id="186" max="16383" man="1"/>
    <brk id="227" min="3" max="8" man="1"/>
    <brk id="279" min="3" max="8" man="1"/>
    <brk id="326" min="3" max="8" man="1"/>
    <brk id="378" min="3" max="8" man="1"/>
    <brk id="435" max="16383" man="1"/>
    <brk id="486" min="3" max="8" man="1"/>
    <brk id="544" max="16383" man="1"/>
    <brk id="595" max="16383" man="1"/>
    <brk id="653" max="16383" man="1"/>
    <brk id="717" max="16383" man="1"/>
    <brk id="765" max="16383" man="1"/>
    <brk id="824" max="16383" man="1"/>
    <brk id="888" max="16383" man="1"/>
    <brk id="939" max="16383" man="1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I130"/>
  <sheetViews>
    <sheetView zoomScaleNormal="100" workbookViewId="0">
      <selection activeCell="J19" sqref="J19"/>
    </sheetView>
  </sheetViews>
  <sheetFormatPr defaultRowHeight="12.75" x14ac:dyDescent="0.2"/>
  <cols>
    <col min="1" max="1" width="14.85546875" bestFit="1" customWidth="1"/>
    <col min="2" max="2" width="38.5703125" customWidth="1"/>
    <col min="3" max="3" width="14.28515625" hidden="1" customWidth="1"/>
    <col min="4" max="4" width="13.5703125" hidden="1" customWidth="1"/>
    <col min="5" max="7" width="13.5703125" customWidth="1"/>
    <col min="8" max="9" width="15" bestFit="1" customWidth="1"/>
  </cols>
  <sheetData>
    <row r="1" spans="1:9" x14ac:dyDescent="0.2">
      <c r="A1" s="16" t="s">
        <v>1433</v>
      </c>
      <c r="B1" s="4" t="s">
        <v>768</v>
      </c>
      <c r="C1" s="1"/>
      <c r="D1" s="1"/>
      <c r="E1" s="1"/>
      <c r="F1" s="1"/>
      <c r="G1" s="1"/>
    </row>
    <row r="2" spans="1:9" x14ac:dyDescent="0.2">
      <c r="A2" s="16"/>
      <c r="B2" s="4" t="s">
        <v>787</v>
      </c>
      <c r="C2" s="1"/>
      <c r="D2" s="1"/>
      <c r="E2" s="1"/>
      <c r="F2" s="1"/>
      <c r="G2" s="1"/>
    </row>
    <row r="3" spans="1:9" x14ac:dyDescent="0.2">
      <c r="A3" s="16"/>
      <c r="B3" s="124"/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9" x14ac:dyDescent="0.2">
      <c r="A4" s="16"/>
      <c r="B4" s="4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206" t="s">
        <v>2472</v>
      </c>
      <c r="B5" s="4" t="s">
        <v>313</v>
      </c>
    </row>
    <row r="6" spans="1:9" x14ac:dyDescent="0.2">
      <c r="A6" s="16" t="s">
        <v>442</v>
      </c>
      <c r="B6" s="126" t="s">
        <v>1827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x14ac:dyDescent="0.2">
      <c r="A7" s="16" t="s">
        <v>443</v>
      </c>
      <c r="B7" s="126" t="s">
        <v>1828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x14ac:dyDescent="0.2">
      <c r="A8" s="16" t="s">
        <v>444</v>
      </c>
      <c r="B8" s="125" t="s">
        <v>2187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x14ac:dyDescent="0.2">
      <c r="A9" s="16" t="s">
        <v>445</v>
      </c>
      <c r="B9" s="125" t="s">
        <v>2188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x14ac:dyDescent="0.2">
      <c r="A10" s="16" t="s">
        <v>446</v>
      </c>
      <c r="B10" s="125" t="s">
        <v>2189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x14ac:dyDescent="0.2">
      <c r="A11" s="16" t="s">
        <v>447</v>
      </c>
      <c r="B11" s="126" t="s">
        <v>1761</v>
      </c>
      <c r="C11" s="10">
        <v>0.03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</row>
    <row r="12" spans="1:9" x14ac:dyDescent="0.2">
      <c r="A12" s="16" t="s">
        <v>196</v>
      </c>
      <c r="B12" s="126" t="s">
        <v>1881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3.5" thickBot="1" x14ac:dyDescent="0.25">
      <c r="A13" s="16" t="s">
        <v>1433</v>
      </c>
      <c r="B13" s="6" t="s">
        <v>137</v>
      </c>
      <c r="C13" s="36">
        <f t="shared" ref="C13:G13" si="0">SUM(C6:C12)</f>
        <v>0.03</v>
      </c>
      <c r="D13" s="36">
        <f t="shared" si="0"/>
        <v>0</v>
      </c>
      <c r="E13" s="36">
        <f t="shared" si="0"/>
        <v>0</v>
      </c>
      <c r="F13" s="36">
        <f t="shared" si="0"/>
        <v>0</v>
      </c>
      <c r="G13" s="36">
        <f t="shared" si="0"/>
        <v>0</v>
      </c>
      <c r="H13" s="36">
        <f t="shared" ref="H13:I13" si="1">SUM(H6:H12)</f>
        <v>0</v>
      </c>
      <c r="I13" s="36">
        <f t="shared" si="1"/>
        <v>0</v>
      </c>
    </row>
    <row r="14" spans="1:9" ht="13.5" thickTop="1" x14ac:dyDescent="0.2">
      <c r="C14" s="10"/>
      <c r="D14" s="10"/>
      <c r="E14" s="10"/>
      <c r="F14" s="10"/>
      <c r="G14" s="10"/>
      <c r="H14" s="10"/>
      <c r="I14" s="10"/>
    </row>
    <row r="15" spans="1:9" x14ac:dyDescent="0.2">
      <c r="A15" s="35"/>
      <c r="B15" s="4" t="s">
        <v>861</v>
      </c>
      <c r="C15" s="10"/>
      <c r="D15" s="10"/>
      <c r="E15" s="10"/>
      <c r="F15" s="10"/>
      <c r="G15" s="10"/>
      <c r="H15" s="10"/>
      <c r="I15" s="10"/>
    </row>
    <row r="16" spans="1:9" x14ac:dyDescent="0.2">
      <c r="A16" s="128">
        <v>470.4</v>
      </c>
      <c r="B16" s="4" t="s">
        <v>1825</v>
      </c>
      <c r="C16" s="10"/>
      <c r="D16" s="10"/>
      <c r="E16" s="10"/>
      <c r="F16" s="10"/>
      <c r="G16" s="10"/>
      <c r="H16" s="10"/>
      <c r="I16" s="10"/>
    </row>
    <row r="17" spans="1:9" x14ac:dyDescent="0.2">
      <c r="A17" s="131" t="s">
        <v>2095</v>
      </c>
      <c r="B17" s="126" t="s">
        <v>1883</v>
      </c>
      <c r="C17" s="17">
        <v>0</v>
      </c>
      <c r="D17" s="17">
        <v>70.2</v>
      </c>
      <c r="E17" s="12">
        <v>0</v>
      </c>
      <c r="F17" s="17">
        <v>0</v>
      </c>
      <c r="G17" s="17">
        <v>0</v>
      </c>
      <c r="H17" s="17">
        <v>0</v>
      </c>
      <c r="I17" s="17">
        <v>0</v>
      </c>
    </row>
    <row r="18" spans="1:9" x14ac:dyDescent="0.2">
      <c r="A18" s="22"/>
      <c r="B18" s="6"/>
      <c r="C18" s="127">
        <f t="shared" ref="C18:F18" si="2">+C17</f>
        <v>0</v>
      </c>
      <c r="D18" s="127">
        <f t="shared" si="2"/>
        <v>70.2</v>
      </c>
      <c r="E18" s="127">
        <f t="shared" si="2"/>
        <v>0</v>
      </c>
      <c r="F18" s="127">
        <f t="shared" si="2"/>
        <v>0</v>
      </c>
      <c r="G18" s="127">
        <f t="shared" ref="G18:H18" si="3">+G17</f>
        <v>0</v>
      </c>
      <c r="H18" s="127">
        <f t="shared" si="3"/>
        <v>0</v>
      </c>
      <c r="I18" s="127">
        <f t="shared" ref="I18" si="4">+I17</f>
        <v>0</v>
      </c>
    </row>
    <row r="19" spans="1:9" x14ac:dyDescent="0.2">
      <c r="A19" s="128">
        <v>470.572</v>
      </c>
      <c r="B19" s="6"/>
      <c r="C19" s="10"/>
      <c r="D19" s="10"/>
      <c r="E19" s="10"/>
      <c r="F19" s="10"/>
      <c r="G19" s="10"/>
      <c r="H19" s="10"/>
      <c r="I19" s="10"/>
    </row>
    <row r="20" spans="1:9" x14ac:dyDescent="0.2">
      <c r="A20" s="16" t="s">
        <v>1557</v>
      </c>
      <c r="B20" s="125" t="s">
        <v>2190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</row>
    <row r="21" spans="1:9" x14ac:dyDescent="0.2">
      <c r="A21" s="16" t="s">
        <v>1558</v>
      </c>
      <c r="B21" s="125" t="s">
        <v>1888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x14ac:dyDescent="0.2">
      <c r="A22" s="16" t="s">
        <v>1559</v>
      </c>
      <c r="B22" s="125" t="s">
        <v>1889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x14ac:dyDescent="0.2">
      <c r="A23" s="16" t="s">
        <v>1566</v>
      </c>
      <c r="B23" s="125" t="s">
        <v>1891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</row>
    <row r="24" spans="1:9" x14ac:dyDescent="0.2">
      <c r="A24" s="16" t="s">
        <v>1560</v>
      </c>
      <c r="B24" s="125" t="s">
        <v>1892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</row>
    <row r="25" spans="1:9" x14ac:dyDescent="0.2">
      <c r="A25" s="16" t="s">
        <v>1561</v>
      </c>
      <c r="B25" s="125" t="s">
        <v>1893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</row>
    <row r="26" spans="1:9" x14ac:dyDescent="0.2">
      <c r="A26" s="16" t="s">
        <v>1562</v>
      </c>
      <c r="B26" s="125" t="s">
        <v>1895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</row>
    <row r="27" spans="1:9" x14ac:dyDescent="0.2">
      <c r="A27" s="16" t="s">
        <v>1564</v>
      </c>
      <c r="B27" s="125" t="s">
        <v>1896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</row>
    <row r="28" spans="1:9" x14ac:dyDescent="0.2">
      <c r="A28" s="16" t="s">
        <v>1563</v>
      </c>
      <c r="B28" s="125" t="s">
        <v>1897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</row>
    <row r="29" spans="1:9" x14ac:dyDescent="0.2">
      <c r="A29" s="16" t="s">
        <v>1565</v>
      </c>
      <c r="B29" s="125" t="s">
        <v>1898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</row>
    <row r="30" spans="1:9" x14ac:dyDescent="0.2">
      <c r="A30" s="16" t="s">
        <v>1376</v>
      </c>
      <c r="B30" s="125" t="s">
        <v>1971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</row>
    <row r="31" spans="1:9" x14ac:dyDescent="0.2">
      <c r="A31" s="16" t="s">
        <v>1567</v>
      </c>
      <c r="B31" s="125" t="s">
        <v>1900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x14ac:dyDescent="0.2">
      <c r="A32" s="16"/>
      <c r="C32" s="127">
        <f t="shared" ref="C32:F32" si="5">SUM(C20:C31)</f>
        <v>0</v>
      </c>
      <c r="D32" s="127">
        <f t="shared" si="5"/>
        <v>0</v>
      </c>
      <c r="E32" s="127">
        <f t="shared" si="5"/>
        <v>0</v>
      </c>
      <c r="F32" s="127">
        <f t="shared" si="5"/>
        <v>0</v>
      </c>
      <c r="G32" s="127">
        <f t="shared" ref="G32:H32" si="6">SUM(G20:G31)</f>
        <v>0</v>
      </c>
      <c r="H32" s="127">
        <f t="shared" si="6"/>
        <v>0</v>
      </c>
      <c r="I32" s="127">
        <f t="shared" ref="I32" si="7">SUM(I20:I31)</f>
        <v>0</v>
      </c>
    </row>
    <row r="33" spans="1:9" x14ac:dyDescent="0.2">
      <c r="A33" s="16"/>
      <c r="C33" s="10"/>
      <c r="D33" s="10"/>
      <c r="E33" s="10"/>
      <c r="F33" s="10"/>
      <c r="G33" s="10"/>
      <c r="H33" s="10"/>
      <c r="I33" s="10"/>
    </row>
    <row r="34" spans="1:9" ht="13.5" thickBot="1" x14ac:dyDescent="0.25">
      <c r="A34" s="16"/>
      <c r="B34" s="6" t="s">
        <v>1341</v>
      </c>
      <c r="C34" s="135">
        <f>SUM(C20:C31)</f>
        <v>0</v>
      </c>
      <c r="D34" s="135">
        <f>+D32+D18</f>
        <v>70.2</v>
      </c>
      <c r="E34" s="135">
        <f>SUM(E20:E31)</f>
        <v>0</v>
      </c>
      <c r="F34" s="135">
        <f>SUM(F20:F31)</f>
        <v>0</v>
      </c>
      <c r="G34" s="135">
        <f>SUM(G20:G31)</f>
        <v>0</v>
      </c>
      <c r="H34" s="135">
        <f>SUM(H20:H31)</f>
        <v>0</v>
      </c>
      <c r="I34" s="135">
        <f>SUM(I20:I31)</f>
        <v>0</v>
      </c>
    </row>
    <row r="35" spans="1:9" ht="13.5" thickTop="1" x14ac:dyDescent="0.2">
      <c r="C35" s="10"/>
      <c r="D35" s="10"/>
      <c r="E35" s="10"/>
      <c r="F35" s="10"/>
      <c r="G35" s="10"/>
      <c r="H35" s="10"/>
      <c r="I35" s="10"/>
    </row>
    <row r="36" spans="1:9" x14ac:dyDescent="0.2">
      <c r="A36" s="16"/>
      <c r="B36" s="4" t="s">
        <v>653</v>
      </c>
      <c r="C36" s="10"/>
      <c r="D36" s="10"/>
      <c r="E36" s="10"/>
      <c r="F36" s="10"/>
      <c r="G36" s="10"/>
      <c r="H36" s="10"/>
      <c r="I36" s="10"/>
    </row>
    <row r="37" spans="1:9" x14ac:dyDescent="0.2">
      <c r="A37" s="16"/>
      <c r="B37" s="4" t="s">
        <v>787</v>
      </c>
      <c r="C37" s="10"/>
      <c r="D37" s="10"/>
      <c r="E37" s="10"/>
      <c r="F37" s="10"/>
      <c r="G37" s="10"/>
      <c r="H37" s="10"/>
      <c r="I37" s="10"/>
    </row>
    <row r="38" spans="1:9" x14ac:dyDescent="0.2">
      <c r="A38" s="16"/>
      <c r="B38" s="4" t="s">
        <v>1343</v>
      </c>
      <c r="C38" s="112" t="s">
        <v>1433</v>
      </c>
      <c r="D38" s="112" t="s">
        <v>1433</v>
      </c>
      <c r="E38" s="112" t="s">
        <v>1433</v>
      </c>
      <c r="F38" s="112" t="s">
        <v>1433</v>
      </c>
      <c r="G38" s="112" t="s">
        <v>1433</v>
      </c>
      <c r="H38" s="112" t="s">
        <v>1433</v>
      </c>
      <c r="I38" s="112" t="s">
        <v>1433</v>
      </c>
    </row>
    <row r="39" spans="1:9" x14ac:dyDescent="0.2">
      <c r="A39" s="16"/>
      <c r="C39" s="129" t="str">
        <f t="shared" ref="C39:G39" si="8">+C4</f>
        <v>2018 ACTUAL</v>
      </c>
      <c r="D39" s="129" t="str">
        <f t="shared" si="8"/>
        <v>2019 ACTUAL</v>
      </c>
      <c r="E39" s="129" t="str">
        <f t="shared" si="8"/>
        <v>2020 ACTUAL</v>
      </c>
      <c r="F39" s="129" t="str">
        <f t="shared" si="8"/>
        <v>2021 ACTUAL</v>
      </c>
      <c r="G39" s="129" t="str">
        <f t="shared" si="8"/>
        <v>2022 ACTUAL</v>
      </c>
      <c r="H39" s="129" t="str">
        <f t="shared" ref="H39:I39" si="9">+H4</f>
        <v xml:space="preserve">2023 BUDGET </v>
      </c>
      <c r="I39" s="129" t="str">
        <f t="shared" si="9"/>
        <v xml:space="preserve">2024 BUDGET </v>
      </c>
    </row>
    <row r="40" spans="1:9" x14ac:dyDescent="0.2">
      <c r="A40" s="16"/>
      <c r="C40" s="112"/>
      <c r="D40" s="112"/>
      <c r="E40" s="112"/>
      <c r="F40" s="112"/>
      <c r="G40" s="112"/>
      <c r="H40" s="112"/>
      <c r="I40" s="112"/>
    </row>
    <row r="41" spans="1:9" x14ac:dyDescent="0.2">
      <c r="A41" s="16"/>
      <c r="B41" t="s">
        <v>1344</v>
      </c>
      <c r="C41" s="10">
        <v>70</v>
      </c>
      <c r="D41" s="10">
        <f t="shared" ref="D41:I41" si="10">C49</f>
        <v>70.03</v>
      </c>
      <c r="E41" s="10">
        <f t="shared" si="10"/>
        <v>-0.17000000000000171</v>
      </c>
      <c r="F41" s="10">
        <f t="shared" si="10"/>
        <v>-0.17000000000000171</v>
      </c>
      <c r="G41" s="10">
        <f t="shared" si="10"/>
        <v>-0.17000000000000171</v>
      </c>
      <c r="H41" s="10">
        <f t="shared" si="10"/>
        <v>-0.17000000000000171</v>
      </c>
      <c r="I41" s="10">
        <f t="shared" si="10"/>
        <v>-0.17000000000000171</v>
      </c>
    </row>
    <row r="42" spans="1:9" x14ac:dyDescent="0.2">
      <c r="A42" s="16"/>
      <c r="C42" s="10"/>
      <c r="D42" s="10"/>
      <c r="E42" s="10"/>
      <c r="F42" s="10"/>
      <c r="G42" s="10"/>
      <c r="H42" s="10"/>
      <c r="I42" s="10"/>
    </row>
    <row r="43" spans="1:9" x14ac:dyDescent="0.2">
      <c r="A43" s="16"/>
      <c r="B43" t="s">
        <v>1345</v>
      </c>
      <c r="C43" s="10">
        <f t="shared" ref="C43:G43" si="11">C13</f>
        <v>0.03</v>
      </c>
      <c r="D43" s="10">
        <f t="shared" si="11"/>
        <v>0</v>
      </c>
      <c r="E43" s="10">
        <f t="shared" si="11"/>
        <v>0</v>
      </c>
      <c r="F43" s="10">
        <f t="shared" si="11"/>
        <v>0</v>
      </c>
      <c r="G43" s="10">
        <f t="shared" si="11"/>
        <v>0</v>
      </c>
      <c r="H43" s="10">
        <f t="shared" ref="H43:I43" si="12">H13</f>
        <v>0</v>
      </c>
      <c r="I43" s="10">
        <f t="shared" si="12"/>
        <v>0</v>
      </c>
    </row>
    <row r="44" spans="1:9" x14ac:dyDescent="0.2">
      <c r="A44" s="16"/>
      <c r="C44" s="10"/>
      <c r="D44" s="10"/>
      <c r="E44" s="10"/>
      <c r="F44" s="10"/>
      <c r="G44" s="10"/>
      <c r="H44" s="10"/>
      <c r="I44" s="10"/>
    </row>
    <row r="45" spans="1:9" x14ac:dyDescent="0.2">
      <c r="A45" s="16"/>
      <c r="B45" t="s">
        <v>1346</v>
      </c>
      <c r="C45" s="10">
        <f t="shared" ref="C45:G45" si="13">C34</f>
        <v>0</v>
      </c>
      <c r="D45" s="10">
        <f t="shared" si="13"/>
        <v>70.2</v>
      </c>
      <c r="E45" s="10">
        <f t="shared" si="13"/>
        <v>0</v>
      </c>
      <c r="F45" s="10">
        <f t="shared" si="13"/>
        <v>0</v>
      </c>
      <c r="G45" s="10">
        <f t="shared" si="13"/>
        <v>0</v>
      </c>
      <c r="H45" s="10">
        <f t="shared" ref="H45:I45" si="14">H34</f>
        <v>0</v>
      </c>
      <c r="I45" s="10">
        <f t="shared" si="14"/>
        <v>0</v>
      </c>
    </row>
    <row r="46" spans="1:9" x14ac:dyDescent="0.2">
      <c r="A46" s="16"/>
      <c r="C46" s="10"/>
      <c r="D46" s="10"/>
      <c r="E46" s="10"/>
      <c r="F46" s="10"/>
      <c r="G46" s="10"/>
      <c r="H46" s="10"/>
      <c r="I46" s="10"/>
    </row>
    <row r="47" spans="1:9" x14ac:dyDescent="0.2">
      <c r="A47" s="16"/>
      <c r="B47" t="s">
        <v>1347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</row>
    <row r="48" spans="1:9" x14ac:dyDescent="0.2">
      <c r="A48" s="16"/>
      <c r="C48" s="10"/>
      <c r="D48" s="10"/>
      <c r="E48" s="10"/>
      <c r="F48" s="10"/>
      <c r="G48" s="10"/>
      <c r="H48" s="10"/>
      <c r="I48" s="10"/>
    </row>
    <row r="49" spans="1:9" ht="13.5" thickBot="1" x14ac:dyDescent="0.25">
      <c r="A49" s="16"/>
      <c r="B49" t="s">
        <v>1348</v>
      </c>
      <c r="C49" s="36">
        <f t="shared" ref="C49:G49" si="15">C41+C43-C45+C47</f>
        <v>70.03</v>
      </c>
      <c r="D49" s="36">
        <f t="shared" si="15"/>
        <v>-0.17000000000000171</v>
      </c>
      <c r="E49" s="36">
        <f t="shared" si="15"/>
        <v>-0.17000000000000171</v>
      </c>
      <c r="F49" s="36">
        <f t="shared" si="15"/>
        <v>-0.17000000000000171</v>
      </c>
      <c r="G49" s="36">
        <f t="shared" si="15"/>
        <v>-0.17000000000000171</v>
      </c>
      <c r="H49" s="36">
        <f t="shared" ref="H49:I49" si="16">H41+H43-H45+H47</f>
        <v>-0.17000000000000171</v>
      </c>
      <c r="I49" s="36">
        <f t="shared" si="16"/>
        <v>-0.17000000000000171</v>
      </c>
    </row>
    <row r="50" spans="1:9" ht="13.5" thickTop="1" x14ac:dyDescent="0.2"/>
    <row r="130" spans="3:7" x14ac:dyDescent="0.2">
      <c r="C130" s="9"/>
      <c r="D130" s="9"/>
      <c r="E130" s="9"/>
      <c r="F130" s="9"/>
      <c r="G130" s="9"/>
    </row>
  </sheetData>
  <phoneticPr fontId="2" type="noConversion"/>
  <pageMargins left="0.5" right="0.5" top="1" bottom="1" header="0.5" footer="0.5"/>
  <pageSetup scale="78" firstPageNumber="42" fitToHeight="0" orientation="portrait" useFirstPageNumber="1" r:id="rId1"/>
  <headerFooter alignWithMargins="0"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G39"/>
  <sheetViews>
    <sheetView zoomScaleNormal="100" workbookViewId="0">
      <selection activeCell="B4" sqref="B4"/>
    </sheetView>
  </sheetViews>
  <sheetFormatPr defaultRowHeight="12.75" x14ac:dyDescent="0.2"/>
  <cols>
    <col min="1" max="1" width="14.85546875" bestFit="1" customWidth="1"/>
    <col min="2" max="2" width="40" customWidth="1"/>
    <col min="3" max="4" width="13.140625" bestFit="1" customWidth="1"/>
    <col min="5" max="7" width="13.28515625" bestFit="1" customWidth="1"/>
  </cols>
  <sheetData>
    <row r="1" spans="1:7" x14ac:dyDescent="0.2">
      <c r="A1" s="16" t="s">
        <v>1433</v>
      </c>
      <c r="B1" s="4" t="s">
        <v>768</v>
      </c>
      <c r="C1" s="1"/>
      <c r="D1" s="1"/>
      <c r="E1" s="1"/>
      <c r="F1" s="1"/>
      <c r="G1" s="1"/>
    </row>
    <row r="2" spans="1:7" x14ac:dyDescent="0.2">
      <c r="A2" s="16"/>
      <c r="B2" s="4" t="s">
        <v>42</v>
      </c>
      <c r="C2" s="1"/>
      <c r="D2" s="1"/>
      <c r="E2" s="1"/>
      <c r="F2" s="1"/>
      <c r="G2" s="1"/>
    </row>
    <row r="3" spans="1:7" x14ac:dyDescent="0.2">
      <c r="A3" s="16"/>
      <c r="B3" s="130" t="s">
        <v>2094</v>
      </c>
      <c r="C3" s="1"/>
      <c r="D3" s="1"/>
      <c r="E3" s="1"/>
      <c r="F3" s="1"/>
      <c r="G3" s="1"/>
    </row>
    <row r="4" spans="1:7" x14ac:dyDescent="0.2">
      <c r="A4" s="16"/>
      <c r="C4" s="7" t="e">
        <f>+'100-Genl'!#REF!</f>
        <v>#REF!</v>
      </c>
      <c r="D4" s="7" t="str">
        <f>+'100-Genl'!C4</f>
        <v>2018 ACTUAL</v>
      </c>
      <c r="E4" s="7" t="str">
        <f>+'100-Genl'!D4</f>
        <v>2019 ACTUAL</v>
      </c>
      <c r="F4" s="7" t="str">
        <f>+'100-Genl'!E4</f>
        <v>2020 ACTUAL</v>
      </c>
      <c r="G4" s="7" t="str">
        <f>+'100-Genl'!F4</f>
        <v>2021 ACTUAL</v>
      </c>
    </row>
    <row r="5" spans="1:7" x14ac:dyDescent="0.2">
      <c r="A5" s="16" t="s">
        <v>1433</v>
      </c>
      <c r="B5" s="4" t="s">
        <v>313</v>
      </c>
    </row>
    <row r="6" spans="1:7" x14ac:dyDescent="0.2">
      <c r="A6" s="16" t="s">
        <v>448</v>
      </c>
      <c r="B6" s="5" t="s">
        <v>856</v>
      </c>
      <c r="C6" s="8">
        <v>0</v>
      </c>
      <c r="D6" s="8">
        <v>0</v>
      </c>
      <c r="E6" s="8">
        <v>0</v>
      </c>
      <c r="F6" s="8">
        <v>0</v>
      </c>
      <c r="G6" s="8">
        <v>0</v>
      </c>
    </row>
    <row r="7" spans="1:7" x14ac:dyDescent="0.2">
      <c r="A7" s="16" t="s">
        <v>449</v>
      </c>
      <c r="B7" s="5" t="s">
        <v>972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7" ht="13.5" thickBot="1" x14ac:dyDescent="0.25">
      <c r="A8" s="16"/>
      <c r="B8" s="6" t="s">
        <v>137</v>
      </c>
      <c r="C8" s="15">
        <f>SUM(C6:C7)</f>
        <v>0</v>
      </c>
      <c r="D8" s="15">
        <f>SUM(D6:D7)</f>
        <v>0</v>
      </c>
      <c r="E8" s="15">
        <f>SUM(E6:E7)</f>
        <v>0</v>
      </c>
      <c r="F8" s="15">
        <f>SUM(F6:F7)</f>
        <v>0</v>
      </c>
      <c r="G8" s="15">
        <f>SUM(G6:G7)</f>
        <v>0</v>
      </c>
    </row>
    <row r="9" spans="1:7" ht="13.5" thickTop="1" x14ac:dyDescent="0.2">
      <c r="A9" s="16" t="s">
        <v>1433</v>
      </c>
      <c r="B9" s="4"/>
      <c r="C9" s="1" t="s">
        <v>1433</v>
      </c>
      <c r="D9" s="1" t="s">
        <v>1433</v>
      </c>
      <c r="E9" s="1" t="s">
        <v>1433</v>
      </c>
      <c r="F9" s="1" t="s">
        <v>1433</v>
      </c>
      <c r="G9" s="1" t="s">
        <v>1433</v>
      </c>
    </row>
    <row r="10" spans="1:7" x14ac:dyDescent="0.2">
      <c r="A10" s="16"/>
      <c r="B10" t="s">
        <v>1433</v>
      </c>
      <c r="C10" s="1"/>
      <c r="D10" s="1"/>
      <c r="E10" s="1"/>
      <c r="F10" s="1"/>
      <c r="G10" s="1"/>
    </row>
    <row r="11" spans="1:7" x14ac:dyDescent="0.2">
      <c r="A11" s="16"/>
      <c r="B11" s="4" t="s">
        <v>861</v>
      </c>
      <c r="C11" s="8"/>
      <c r="D11" s="8"/>
      <c r="E11" s="8"/>
      <c r="F11" s="8"/>
      <c r="G11" s="8"/>
    </row>
    <row r="12" spans="1:7" x14ac:dyDescent="0.2">
      <c r="A12" s="16" t="s">
        <v>43</v>
      </c>
      <c r="B12" s="21" t="s">
        <v>1029</v>
      </c>
      <c r="C12" s="3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 x14ac:dyDescent="0.2">
      <c r="A13" s="16" t="s">
        <v>44</v>
      </c>
      <c r="B13" s="21" t="s">
        <v>140</v>
      </c>
      <c r="C13" s="17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x14ac:dyDescent="0.2">
      <c r="A14" s="16" t="s">
        <v>45</v>
      </c>
      <c r="B14" s="21" t="s">
        <v>141</v>
      </c>
      <c r="C14" s="17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2">
      <c r="A15" s="16" t="s">
        <v>46</v>
      </c>
      <c r="B15" s="21" t="s">
        <v>142</v>
      </c>
      <c r="C15" s="17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2">
      <c r="A16" s="16" t="s">
        <v>47</v>
      </c>
      <c r="B16" s="21" t="s">
        <v>858</v>
      </c>
      <c r="C16" s="17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x14ac:dyDescent="0.2">
      <c r="A17" s="16" t="s">
        <v>48</v>
      </c>
      <c r="B17" s="21" t="s">
        <v>131</v>
      </c>
      <c r="C17" s="17">
        <v>0</v>
      </c>
      <c r="D17" s="10">
        <v>0</v>
      </c>
      <c r="E17" s="10">
        <v>0</v>
      </c>
      <c r="F17" s="10">
        <v>0</v>
      </c>
      <c r="G17" s="10">
        <v>0</v>
      </c>
    </row>
    <row r="18" spans="1:7" x14ac:dyDescent="0.2">
      <c r="A18" s="16" t="s">
        <v>50</v>
      </c>
      <c r="B18" s="21" t="s">
        <v>1030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</row>
    <row r="19" spans="1:7" x14ac:dyDescent="0.2">
      <c r="A19" s="16" t="s">
        <v>49</v>
      </c>
      <c r="B19" s="21" t="s">
        <v>143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</row>
    <row r="20" spans="1:7" x14ac:dyDescent="0.2">
      <c r="A20" s="16" t="s">
        <v>276</v>
      </c>
      <c r="B20" s="21" t="s">
        <v>1031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2">
      <c r="A21" s="16" t="s">
        <v>51</v>
      </c>
      <c r="B21" s="21" t="s">
        <v>859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</row>
    <row r="22" spans="1:7" x14ac:dyDescent="0.2">
      <c r="A22" s="16" t="s">
        <v>52</v>
      </c>
      <c r="B22" s="21" t="s">
        <v>788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ht="13.5" thickBot="1" x14ac:dyDescent="0.25">
      <c r="A23" s="16"/>
      <c r="B23" s="6" t="s">
        <v>1341</v>
      </c>
      <c r="C23" s="14">
        <f>SUM(C12:C22)</f>
        <v>0</v>
      </c>
      <c r="D23" s="14">
        <f>SUM(D12:D22)</f>
        <v>0</v>
      </c>
      <c r="E23" s="14">
        <f>SUM(E12:E22)</f>
        <v>0</v>
      </c>
      <c r="F23" s="14">
        <f>SUM(F12:F22)</f>
        <v>0</v>
      </c>
      <c r="G23" s="14">
        <f>SUM(G12:G22)</f>
        <v>0</v>
      </c>
    </row>
    <row r="24" spans="1:7" ht="13.5" thickTop="1" x14ac:dyDescent="0.2"/>
    <row r="25" spans="1:7" x14ac:dyDescent="0.2">
      <c r="A25" s="16"/>
      <c r="B25" s="4" t="s">
        <v>653</v>
      </c>
    </row>
    <row r="26" spans="1:7" x14ac:dyDescent="0.2">
      <c r="A26" s="16"/>
      <c r="B26" s="4" t="s">
        <v>42</v>
      </c>
    </row>
    <row r="27" spans="1:7" x14ac:dyDescent="0.2">
      <c r="A27" s="16"/>
      <c r="B27" s="4" t="s">
        <v>1343</v>
      </c>
      <c r="C27" s="1" t="s">
        <v>1433</v>
      </c>
      <c r="D27" s="1" t="s">
        <v>1433</v>
      </c>
      <c r="E27" s="1" t="s">
        <v>1433</v>
      </c>
      <c r="F27" s="1" t="s">
        <v>1433</v>
      </c>
      <c r="G27" s="1" t="s">
        <v>1433</v>
      </c>
    </row>
    <row r="28" spans="1:7" x14ac:dyDescent="0.2">
      <c r="A28" s="16"/>
      <c r="C28" s="7" t="e">
        <f>+C4</f>
        <v>#REF!</v>
      </c>
      <c r="D28" s="7" t="str">
        <f>+D4</f>
        <v>2018 ACTUAL</v>
      </c>
      <c r="E28" s="7" t="str">
        <f>+E4</f>
        <v>2019 ACTUAL</v>
      </c>
      <c r="F28" s="7" t="str">
        <f>+F4</f>
        <v>2020 ACTUAL</v>
      </c>
      <c r="G28" s="7" t="str">
        <f>+G4</f>
        <v>2021 ACTUAL</v>
      </c>
    </row>
    <row r="29" spans="1:7" x14ac:dyDescent="0.2">
      <c r="A29" s="16"/>
      <c r="C29" s="1"/>
      <c r="D29" s="1"/>
      <c r="E29" s="1"/>
      <c r="F29" s="1"/>
      <c r="G29" s="1"/>
    </row>
    <row r="30" spans="1:7" x14ac:dyDescent="0.2">
      <c r="A30" s="16"/>
      <c r="B30" t="s">
        <v>1344</v>
      </c>
      <c r="C30" s="8">
        <v>0</v>
      </c>
      <c r="D30" s="8">
        <f>C38</f>
        <v>0</v>
      </c>
      <c r="E30" s="8">
        <f>D38</f>
        <v>0</v>
      </c>
      <c r="F30" s="8">
        <f>E38</f>
        <v>0</v>
      </c>
      <c r="G30" s="8">
        <f>F38</f>
        <v>0</v>
      </c>
    </row>
    <row r="31" spans="1:7" x14ac:dyDescent="0.2">
      <c r="A31" s="16"/>
    </row>
    <row r="32" spans="1:7" x14ac:dyDescent="0.2">
      <c r="A32" s="16"/>
      <c r="B32" t="s">
        <v>1345</v>
      </c>
      <c r="C32" s="10">
        <f>C8</f>
        <v>0</v>
      </c>
      <c r="D32" s="18">
        <f>D8</f>
        <v>0</v>
      </c>
      <c r="E32" s="18">
        <f>E8</f>
        <v>0</v>
      </c>
      <c r="F32" s="18">
        <f>F8</f>
        <v>0</v>
      </c>
      <c r="G32" s="18">
        <f>G8</f>
        <v>0</v>
      </c>
    </row>
    <row r="33" spans="1:7" x14ac:dyDescent="0.2">
      <c r="A33" s="16"/>
      <c r="C33" s="10"/>
      <c r="D33" s="10"/>
      <c r="E33" s="10"/>
      <c r="F33" s="10"/>
      <c r="G33" s="10"/>
    </row>
    <row r="34" spans="1:7" x14ac:dyDescent="0.2">
      <c r="A34" s="16"/>
      <c r="B34" t="s">
        <v>1346</v>
      </c>
      <c r="C34" s="10">
        <f>C23</f>
        <v>0</v>
      </c>
      <c r="D34" s="10">
        <f>D23</f>
        <v>0</v>
      </c>
      <c r="E34" s="10">
        <f>E23</f>
        <v>0</v>
      </c>
      <c r="F34" s="10">
        <f>F23</f>
        <v>0</v>
      </c>
      <c r="G34" s="10">
        <f>G23</f>
        <v>0</v>
      </c>
    </row>
    <row r="35" spans="1:7" x14ac:dyDescent="0.2">
      <c r="A35" s="16"/>
      <c r="C35" s="10"/>
      <c r="D35" s="10"/>
      <c r="E35" s="10"/>
      <c r="F35" s="10"/>
      <c r="G35" s="10"/>
    </row>
    <row r="36" spans="1:7" x14ac:dyDescent="0.2">
      <c r="A36" s="16"/>
      <c r="B36" t="s">
        <v>1347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</row>
    <row r="37" spans="1:7" x14ac:dyDescent="0.2">
      <c r="A37" s="16"/>
      <c r="C37" s="10"/>
      <c r="D37" s="10"/>
      <c r="E37" s="10"/>
      <c r="F37" s="10"/>
      <c r="G37" s="10"/>
    </row>
    <row r="38" spans="1:7" ht="13.5" thickBot="1" x14ac:dyDescent="0.25">
      <c r="A38" s="16"/>
      <c r="B38" t="s">
        <v>1348</v>
      </c>
      <c r="C38" s="15">
        <f>C30+C32-C34+C36</f>
        <v>0</v>
      </c>
      <c r="D38" s="15">
        <f>D30+D32-D34+D36</f>
        <v>0</v>
      </c>
      <c r="E38" s="15">
        <f>E30+E32-E34+E36</f>
        <v>0</v>
      </c>
      <c r="F38" s="15">
        <f>F30+F32-F34+F36</f>
        <v>0</v>
      </c>
      <c r="G38" s="15">
        <f>G30+G32-G34+G36</f>
        <v>0</v>
      </c>
    </row>
    <row r="39" spans="1:7" ht="13.5" thickTop="1" x14ac:dyDescent="0.2"/>
  </sheetData>
  <phoneticPr fontId="2" type="noConversion"/>
  <pageMargins left="0.75" right="0.75" top="1" bottom="1" header="0.5" footer="0.5"/>
  <pageSetup scale="83" firstPageNumber="42" orientation="portrait" useFirstPageNumber="1" r:id="rId1"/>
  <headerFooter alignWithMargins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I316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2.57031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s="16" t="s">
        <v>1433</v>
      </c>
      <c r="B1" s="20" t="s">
        <v>653</v>
      </c>
      <c r="C1" s="1" t="s">
        <v>1433</v>
      </c>
      <c r="D1" s="1" t="s">
        <v>1433</v>
      </c>
      <c r="E1" s="1" t="s">
        <v>1433</v>
      </c>
      <c r="F1" s="1" t="s">
        <v>1433</v>
      </c>
      <c r="G1" s="1" t="s">
        <v>1433</v>
      </c>
    </row>
    <row r="2" spans="1:9" x14ac:dyDescent="0.2">
      <c r="A2" s="16"/>
      <c r="B2" s="4" t="s">
        <v>80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3" spans="1:9" x14ac:dyDescent="0.2">
      <c r="A3" s="16"/>
      <c r="B3" s="4" t="s">
        <v>313</v>
      </c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9" x14ac:dyDescent="0.2">
      <c r="A4" s="16"/>
      <c r="B4" s="4"/>
      <c r="C4" s="1"/>
      <c r="D4" s="1"/>
      <c r="E4" s="1"/>
      <c r="F4" s="1"/>
      <c r="G4" s="1"/>
    </row>
    <row r="5" spans="1:9" x14ac:dyDescent="0.2">
      <c r="A5" s="16"/>
      <c r="C5" s="7" t="str">
        <f>+'100-Genl'!C4</f>
        <v>2018 ACTUAL</v>
      </c>
      <c r="D5" s="7" t="str">
        <f>+'100-Genl'!D4</f>
        <v>2019 ACTUAL</v>
      </c>
      <c r="E5" s="7" t="str">
        <f>+'100-Genl'!E4</f>
        <v>2020 ACTUAL</v>
      </c>
      <c r="F5" s="7" t="str">
        <f>+'100-Genl'!F4</f>
        <v>2021 ACTUAL</v>
      </c>
      <c r="G5" s="7" t="str">
        <f>+'100-Genl'!G4</f>
        <v>2022 ACTUAL</v>
      </c>
      <c r="H5" s="7" t="str">
        <f>+'100-Genl'!H4</f>
        <v xml:space="preserve">2023 BUDGET </v>
      </c>
      <c r="I5" s="7" t="str">
        <f>+'100-Genl'!I4</f>
        <v xml:space="preserve">2024 BUDGET </v>
      </c>
    </row>
    <row r="6" spans="1:9" x14ac:dyDescent="0.2">
      <c r="A6" s="198" t="s">
        <v>2473</v>
      </c>
      <c r="B6" s="20" t="s">
        <v>1025</v>
      </c>
    </row>
    <row r="7" spans="1:9" hidden="1" x14ac:dyDescent="0.2">
      <c r="A7" s="16" t="s">
        <v>197</v>
      </c>
      <c r="B7" s="21" t="s">
        <v>198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</row>
    <row r="8" spans="1:9" x14ac:dyDescent="0.2">
      <c r="A8" s="16" t="s">
        <v>501</v>
      </c>
      <c r="B8" s="125" t="s">
        <v>2191</v>
      </c>
      <c r="C8" s="10">
        <v>81000</v>
      </c>
      <c r="D8" s="10">
        <v>81000</v>
      </c>
      <c r="E8" s="10">
        <v>81000</v>
      </c>
      <c r="F8" s="10">
        <v>0</v>
      </c>
      <c r="G8" s="10">
        <v>0</v>
      </c>
      <c r="H8" s="10">
        <v>0</v>
      </c>
      <c r="I8" s="10">
        <v>0</v>
      </c>
    </row>
    <row r="9" spans="1:9" ht="12.75" customHeight="1" x14ac:dyDescent="0.2">
      <c r="A9" s="16" t="s">
        <v>506</v>
      </c>
      <c r="B9" s="125" t="s">
        <v>2192</v>
      </c>
      <c r="C9" s="17">
        <v>9500</v>
      </c>
      <c r="D9" s="17">
        <v>10490</v>
      </c>
      <c r="E9" s="17">
        <v>12378</v>
      </c>
      <c r="F9" s="17">
        <v>0</v>
      </c>
      <c r="G9" s="17">
        <v>24985</v>
      </c>
      <c r="H9" s="17">
        <v>9000</v>
      </c>
      <c r="I9" s="17">
        <f>+H9</f>
        <v>9000</v>
      </c>
    </row>
    <row r="10" spans="1:9" x14ac:dyDescent="0.2">
      <c r="A10" s="16" t="s">
        <v>502</v>
      </c>
      <c r="B10" s="125" t="s">
        <v>2193</v>
      </c>
      <c r="C10" s="10">
        <v>750</v>
      </c>
      <c r="D10" s="10">
        <v>12513.97</v>
      </c>
      <c r="E10" s="10">
        <v>30050</v>
      </c>
      <c r="F10" s="10">
        <v>36250</v>
      </c>
      <c r="G10" s="10">
        <v>21875</v>
      </c>
      <c r="H10" s="10">
        <v>0</v>
      </c>
      <c r="I10" s="10">
        <v>0</v>
      </c>
    </row>
    <row r="11" spans="1:9" x14ac:dyDescent="0.2">
      <c r="A11" s="16" t="s">
        <v>507</v>
      </c>
      <c r="B11" s="125" t="s">
        <v>2016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</row>
    <row r="12" spans="1:9" x14ac:dyDescent="0.2">
      <c r="A12" s="16" t="s">
        <v>508</v>
      </c>
      <c r="B12" s="125" t="s">
        <v>2194</v>
      </c>
      <c r="C12" s="17">
        <v>9109.93</v>
      </c>
      <c r="D12" s="17">
        <v>11592.12</v>
      </c>
      <c r="E12" s="17">
        <v>3125.98</v>
      </c>
      <c r="F12" s="17">
        <v>9753.0400000000009</v>
      </c>
      <c r="G12" s="17">
        <v>22919.279999999999</v>
      </c>
      <c r="H12" s="17">
        <v>10000</v>
      </c>
      <c r="I12" s="17">
        <f>+H12</f>
        <v>10000</v>
      </c>
    </row>
    <row r="13" spans="1:9" x14ac:dyDescent="0.2">
      <c r="A13" s="16" t="s">
        <v>503</v>
      </c>
      <c r="B13" s="125" t="s">
        <v>2195</v>
      </c>
      <c r="C13" s="10">
        <v>0</v>
      </c>
      <c r="D13" s="10">
        <v>5834.59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</row>
    <row r="14" spans="1:9" x14ac:dyDescent="0.2">
      <c r="A14" s="16" t="s">
        <v>2331</v>
      </c>
      <c r="B14" s="125" t="s">
        <v>2330</v>
      </c>
      <c r="C14" s="10">
        <v>0</v>
      </c>
      <c r="D14" s="10">
        <v>0</v>
      </c>
      <c r="E14" s="10">
        <v>12461.94</v>
      </c>
      <c r="F14" s="10">
        <v>144713.06</v>
      </c>
      <c r="G14" s="10">
        <v>0</v>
      </c>
      <c r="H14" s="10">
        <v>0</v>
      </c>
      <c r="I14" s="10">
        <v>0</v>
      </c>
    </row>
    <row r="15" spans="1:9" x14ac:dyDescent="0.2">
      <c r="A15" s="16" t="s">
        <v>509</v>
      </c>
      <c r="B15" s="125" t="s">
        <v>2196</v>
      </c>
      <c r="C15" s="17">
        <v>0</v>
      </c>
      <c r="D15" s="17">
        <v>0</v>
      </c>
      <c r="E15" s="17">
        <v>18618.87</v>
      </c>
      <c r="F15" s="17">
        <v>9285.56</v>
      </c>
      <c r="G15" s="17">
        <v>4648.07</v>
      </c>
      <c r="H15" s="17">
        <v>18618.87</v>
      </c>
      <c r="I15" s="17">
        <f>+H15</f>
        <v>18618.87</v>
      </c>
    </row>
    <row r="16" spans="1:9" hidden="1" x14ac:dyDescent="0.2">
      <c r="A16" s="16" t="s">
        <v>199</v>
      </c>
      <c r="B16" s="125" t="s">
        <v>136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</row>
    <row r="17" spans="1:9" hidden="1" x14ac:dyDescent="0.2">
      <c r="A17" s="16" t="s">
        <v>504</v>
      </c>
      <c r="B17" s="125" t="s">
        <v>200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</row>
    <row r="18" spans="1:9" hidden="1" x14ac:dyDescent="0.2">
      <c r="A18" s="16" t="s">
        <v>505</v>
      </c>
      <c r="B18" s="125" t="s">
        <v>463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</row>
    <row r="19" spans="1:9" hidden="1" x14ac:dyDescent="0.2">
      <c r="A19" s="16" t="s">
        <v>1532</v>
      </c>
      <c r="B19" s="125" t="s">
        <v>931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</row>
    <row r="20" spans="1:9" hidden="1" x14ac:dyDescent="0.2">
      <c r="A20" s="16" t="s">
        <v>932</v>
      </c>
      <c r="B20" s="125" t="s">
        <v>933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</row>
    <row r="21" spans="1:9" hidden="1" x14ac:dyDescent="0.2">
      <c r="A21" s="16" t="s">
        <v>934</v>
      </c>
      <c r="B21" s="125" t="s">
        <v>935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idden="1" x14ac:dyDescent="0.2">
      <c r="A22" s="16" t="s">
        <v>936</v>
      </c>
      <c r="B22" s="125" t="s">
        <v>937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x14ac:dyDescent="0.2">
      <c r="A23" s="52" t="s">
        <v>1746</v>
      </c>
      <c r="B23" s="126" t="s">
        <v>2197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</row>
    <row r="24" spans="1:9" x14ac:dyDescent="0.2">
      <c r="A24" s="52" t="s">
        <v>1608</v>
      </c>
      <c r="B24" s="126" t="s">
        <v>2198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</row>
    <row r="25" spans="1:9" x14ac:dyDescent="0.2">
      <c r="A25" s="52" t="s">
        <v>1626</v>
      </c>
      <c r="B25" s="126" t="s">
        <v>2204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2.75" customHeight="1" x14ac:dyDescent="0.2">
      <c r="A26" s="16" t="s">
        <v>1700</v>
      </c>
      <c r="B26" s="125" t="s">
        <v>2199</v>
      </c>
      <c r="C26" s="10">
        <v>0</v>
      </c>
      <c r="D26" s="10">
        <v>5625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</row>
    <row r="27" spans="1:9" ht="12.75" hidden="1" customHeight="1" x14ac:dyDescent="0.2">
      <c r="A27" s="16" t="s">
        <v>1701</v>
      </c>
      <c r="B27" s="125" t="s">
        <v>1702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</row>
    <row r="28" spans="1:9" ht="12.75" hidden="1" customHeight="1" x14ac:dyDescent="0.2">
      <c r="A28" s="16" t="s">
        <v>1703</v>
      </c>
      <c r="B28" s="125" t="s">
        <v>1704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</row>
    <row r="29" spans="1:9" ht="12.75" customHeight="1" x14ac:dyDescent="0.2">
      <c r="A29" s="35" t="s">
        <v>2332</v>
      </c>
      <c r="B29" s="126" t="s">
        <v>2200</v>
      </c>
      <c r="C29" s="10">
        <v>19788.919999999998</v>
      </c>
      <c r="D29" s="10">
        <v>5211.08</v>
      </c>
      <c r="E29" s="10"/>
      <c r="F29" s="10"/>
      <c r="G29" s="10">
        <v>5218</v>
      </c>
      <c r="H29" s="10"/>
      <c r="I29" s="10"/>
    </row>
    <row r="30" spans="1:9" ht="12.75" hidden="1" customHeight="1" x14ac:dyDescent="0.2">
      <c r="A30" s="16" t="s">
        <v>510</v>
      </c>
      <c r="B30" s="125" t="s">
        <v>938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</row>
    <row r="31" spans="1:9" ht="12.75" customHeight="1" x14ac:dyDescent="0.2">
      <c r="A31" s="16" t="s">
        <v>2333</v>
      </c>
      <c r="B31" s="125" t="s">
        <v>2334</v>
      </c>
      <c r="C31" s="10">
        <v>0</v>
      </c>
      <c r="D31" s="10">
        <v>0</v>
      </c>
      <c r="E31" s="10">
        <v>330.99</v>
      </c>
      <c r="F31" s="10">
        <v>0</v>
      </c>
      <c r="G31" s="10">
        <v>0</v>
      </c>
      <c r="H31" s="10">
        <v>0</v>
      </c>
      <c r="I31" s="10">
        <v>0</v>
      </c>
    </row>
    <row r="32" spans="1:9" ht="12.75" customHeight="1" x14ac:dyDescent="0.2">
      <c r="A32" s="16" t="s">
        <v>2335</v>
      </c>
      <c r="B32" s="125" t="s">
        <v>2338</v>
      </c>
      <c r="C32" s="10">
        <v>0</v>
      </c>
      <c r="D32" s="10">
        <v>0</v>
      </c>
      <c r="E32" s="10">
        <v>20000</v>
      </c>
      <c r="F32" s="10">
        <v>0</v>
      </c>
      <c r="G32" s="10">
        <v>0</v>
      </c>
      <c r="H32" s="10">
        <v>0</v>
      </c>
      <c r="I32" s="10">
        <v>0</v>
      </c>
    </row>
    <row r="33" spans="1:9" ht="12.75" customHeight="1" x14ac:dyDescent="0.2">
      <c r="A33" s="16" t="s">
        <v>2336</v>
      </c>
      <c r="B33" s="125" t="s">
        <v>2339</v>
      </c>
      <c r="C33" s="10">
        <v>0</v>
      </c>
      <c r="D33" s="10">
        <v>0</v>
      </c>
      <c r="E33" s="10">
        <v>15000</v>
      </c>
      <c r="F33" s="10">
        <v>0</v>
      </c>
      <c r="G33" s="10">
        <v>0</v>
      </c>
      <c r="H33" s="10">
        <v>0</v>
      </c>
      <c r="I33" s="10">
        <v>0</v>
      </c>
    </row>
    <row r="34" spans="1:9" ht="12.75" customHeight="1" x14ac:dyDescent="0.2">
      <c r="A34" s="16" t="s">
        <v>2337</v>
      </c>
      <c r="B34" s="125" t="s">
        <v>2340</v>
      </c>
      <c r="C34" s="10">
        <v>0</v>
      </c>
      <c r="D34" s="10">
        <v>0</v>
      </c>
      <c r="E34" s="10">
        <v>152911.48000000001</v>
      </c>
      <c r="F34" s="10">
        <v>35499.919999999998</v>
      </c>
      <c r="G34" s="10">
        <v>14981.11</v>
      </c>
      <c r="H34" s="10">
        <v>0</v>
      </c>
      <c r="I34" s="10">
        <v>0</v>
      </c>
    </row>
    <row r="35" spans="1:9" ht="12.75" customHeight="1" x14ac:dyDescent="0.2">
      <c r="A35" s="16" t="s">
        <v>2391</v>
      </c>
      <c r="B35" s="125" t="s">
        <v>2341</v>
      </c>
      <c r="C35" s="10">
        <v>0</v>
      </c>
      <c r="D35" s="10">
        <v>0</v>
      </c>
      <c r="E35" s="10">
        <v>50000</v>
      </c>
      <c r="F35" s="10">
        <v>247313.89</v>
      </c>
      <c r="G35" s="10">
        <v>0</v>
      </c>
      <c r="H35" s="10">
        <v>0</v>
      </c>
      <c r="I35" s="10">
        <v>0</v>
      </c>
    </row>
    <row r="36" spans="1:9" x14ac:dyDescent="0.2">
      <c r="A36" s="16" t="s">
        <v>2392</v>
      </c>
      <c r="B36" s="125" t="s">
        <v>2393</v>
      </c>
      <c r="C36" s="10">
        <v>0</v>
      </c>
      <c r="D36" s="10">
        <v>0</v>
      </c>
      <c r="E36" s="10">
        <v>0</v>
      </c>
      <c r="F36" s="10">
        <v>0</v>
      </c>
      <c r="G36" s="10">
        <v>9355.2099999999991</v>
      </c>
      <c r="H36" s="10">
        <v>0</v>
      </c>
      <c r="I36" s="10">
        <v>0</v>
      </c>
    </row>
    <row r="37" spans="1:9" x14ac:dyDescent="0.2">
      <c r="A37" s="16" t="s">
        <v>2556</v>
      </c>
      <c r="B37" s="125" t="s">
        <v>2557</v>
      </c>
      <c r="C37" s="10"/>
      <c r="D37" s="10"/>
      <c r="E37" s="10"/>
      <c r="F37" s="10"/>
      <c r="G37" s="10">
        <v>25000</v>
      </c>
      <c r="H37" s="10"/>
      <c r="I37" s="10"/>
    </row>
    <row r="38" spans="1:9" x14ac:dyDescent="0.2">
      <c r="A38" s="16" t="s">
        <v>513</v>
      </c>
      <c r="B38" s="125" t="s">
        <v>514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</row>
    <row r="39" spans="1:9" x14ac:dyDescent="0.2">
      <c r="A39" s="16" t="s">
        <v>515</v>
      </c>
      <c r="B39" s="125" t="s">
        <v>91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</row>
    <row r="40" spans="1:9" ht="12.75" customHeight="1" x14ac:dyDescent="0.2">
      <c r="A40" s="52" t="s">
        <v>1622</v>
      </c>
      <c r="B40" s="126" t="s">
        <v>1621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</row>
    <row r="41" spans="1:9" x14ac:dyDescent="0.2">
      <c r="A41" s="16" t="s">
        <v>516</v>
      </c>
      <c r="B41" s="125" t="s">
        <v>1384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x14ac:dyDescent="0.2">
      <c r="A42" s="16" t="s">
        <v>381</v>
      </c>
      <c r="B42" s="125" t="s">
        <v>2201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</row>
    <row r="43" spans="1:9" ht="12.75" customHeight="1" x14ac:dyDescent="0.2">
      <c r="A43" s="16" t="s">
        <v>511</v>
      </c>
      <c r="B43" s="125" t="s">
        <v>2202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</row>
    <row r="44" spans="1:9" ht="12.75" customHeight="1" x14ac:dyDescent="0.2">
      <c r="A44" s="16" t="s">
        <v>88</v>
      </c>
      <c r="B44" s="125" t="s">
        <v>2203</v>
      </c>
      <c r="C44" s="10">
        <v>0</v>
      </c>
      <c r="D44" s="10">
        <v>0</v>
      </c>
      <c r="E44" s="10">
        <v>0</v>
      </c>
      <c r="F44" s="10">
        <v>842411.2</v>
      </c>
      <c r="G44" s="10">
        <v>62447.4</v>
      </c>
      <c r="H44" s="10">
        <v>0</v>
      </c>
      <c r="I44" s="10">
        <v>0</v>
      </c>
    </row>
    <row r="45" spans="1:9" x14ac:dyDescent="0.2">
      <c r="A45" s="16"/>
      <c r="B45" s="6" t="s">
        <v>1024</v>
      </c>
      <c r="C45" s="38">
        <f t="shared" ref="C45:G45" si="0">SUM(C7:C44)</f>
        <v>120148.84999999999</v>
      </c>
      <c r="D45" s="38">
        <f t="shared" si="0"/>
        <v>132266.75999999998</v>
      </c>
      <c r="E45" s="38">
        <f t="shared" si="0"/>
        <v>395877.26</v>
      </c>
      <c r="F45" s="38">
        <f t="shared" si="0"/>
        <v>1325226.67</v>
      </c>
      <c r="G45" s="38">
        <f t="shared" si="0"/>
        <v>191429.07</v>
      </c>
      <c r="H45" s="38">
        <f t="shared" ref="H45:I45" si="1">SUM(H7:H44)</f>
        <v>37618.869999999995</v>
      </c>
      <c r="I45" s="38">
        <f t="shared" si="1"/>
        <v>37618.869999999995</v>
      </c>
    </row>
    <row r="46" spans="1:9" x14ac:dyDescent="0.2">
      <c r="A46" s="16"/>
      <c r="B46" s="6"/>
      <c r="C46" s="10"/>
      <c r="D46" s="10"/>
      <c r="E46" s="10"/>
      <c r="F46" s="10"/>
      <c r="G46" s="10"/>
      <c r="H46" s="10"/>
      <c r="I46" s="10"/>
    </row>
    <row r="47" spans="1:9" x14ac:dyDescent="0.2">
      <c r="A47" s="198" t="s">
        <v>2474</v>
      </c>
      <c r="B47" s="20" t="s">
        <v>1582</v>
      </c>
      <c r="C47" s="10"/>
      <c r="D47" s="10"/>
      <c r="E47" s="10"/>
      <c r="F47" s="10"/>
      <c r="G47" s="10"/>
      <c r="H47" s="10"/>
      <c r="I47" s="10"/>
    </row>
    <row r="48" spans="1:9" x14ac:dyDescent="0.2">
      <c r="A48" s="16" t="s">
        <v>512</v>
      </c>
      <c r="B48" s="125" t="s">
        <v>1761</v>
      </c>
      <c r="C48" s="10">
        <v>386.35</v>
      </c>
      <c r="D48" s="10">
        <v>363.86</v>
      </c>
      <c r="E48" s="10">
        <v>493.32</v>
      </c>
      <c r="F48" s="10">
        <v>382.34</v>
      </c>
      <c r="G48" s="10">
        <v>87.39</v>
      </c>
      <c r="H48" s="10">
        <v>0</v>
      </c>
      <c r="I48" s="10">
        <v>0</v>
      </c>
    </row>
    <row r="49" spans="1:9" x14ac:dyDescent="0.2">
      <c r="A49" s="16"/>
      <c r="B49" s="6" t="s">
        <v>1024</v>
      </c>
      <c r="C49" s="38">
        <f t="shared" ref="C49:G49" si="2">SUM(C48)</f>
        <v>386.35</v>
      </c>
      <c r="D49" s="38">
        <f t="shared" si="2"/>
        <v>363.86</v>
      </c>
      <c r="E49" s="38">
        <f t="shared" si="2"/>
        <v>493.32</v>
      </c>
      <c r="F49" s="38">
        <f t="shared" si="2"/>
        <v>382.34</v>
      </c>
      <c r="G49" s="38">
        <f t="shared" si="2"/>
        <v>87.39</v>
      </c>
      <c r="H49" s="38">
        <f t="shared" ref="H49:I49" si="3">SUM(H48)</f>
        <v>0</v>
      </c>
      <c r="I49" s="38">
        <f t="shared" si="3"/>
        <v>0</v>
      </c>
    </row>
    <row r="50" spans="1:9" x14ac:dyDescent="0.2">
      <c r="C50" s="10"/>
      <c r="D50" s="10"/>
      <c r="E50" s="10"/>
      <c r="F50" s="10"/>
      <c r="G50" s="10"/>
      <c r="H50" s="10"/>
      <c r="I50" s="10"/>
    </row>
    <row r="51" spans="1:9" ht="13.5" thickBot="1" x14ac:dyDescent="0.25">
      <c r="A51" s="16"/>
      <c r="B51" s="6" t="s">
        <v>137</v>
      </c>
      <c r="C51" s="36">
        <f t="shared" ref="C51:G51" si="4">C45+C49</f>
        <v>120535.2</v>
      </c>
      <c r="D51" s="36">
        <f t="shared" si="4"/>
        <v>132630.61999999997</v>
      </c>
      <c r="E51" s="36">
        <f t="shared" si="4"/>
        <v>396370.58</v>
      </c>
      <c r="F51" s="36">
        <f t="shared" si="4"/>
        <v>1325609.01</v>
      </c>
      <c r="G51" s="36">
        <f t="shared" si="4"/>
        <v>191516.46000000002</v>
      </c>
      <c r="H51" s="36">
        <f t="shared" ref="H51:I51" si="5">H45+H49</f>
        <v>37618.869999999995</v>
      </c>
      <c r="I51" s="36">
        <f t="shared" si="5"/>
        <v>37618.869999999995</v>
      </c>
    </row>
    <row r="52" spans="1:9" ht="13.5" thickTop="1" x14ac:dyDescent="0.2">
      <c r="B52" s="6"/>
      <c r="C52" s="10"/>
      <c r="D52" s="10"/>
      <c r="E52" s="10"/>
      <c r="F52" s="10"/>
      <c r="G52" s="10"/>
      <c r="H52" s="10"/>
      <c r="I52" s="10"/>
    </row>
    <row r="53" spans="1:9" x14ac:dyDescent="0.2">
      <c r="B53" s="6"/>
      <c r="C53" s="10"/>
      <c r="D53" s="10"/>
      <c r="E53" s="10"/>
      <c r="F53" s="10"/>
      <c r="G53" s="10"/>
      <c r="H53" s="10"/>
      <c r="I53" s="10"/>
    </row>
    <row r="54" spans="1:9" x14ac:dyDescent="0.2">
      <c r="B54" s="6"/>
      <c r="C54" s="10"/>
      <c r="D54" s="10"/>
      <c r="E54" s="10"/>
      <c r="F54" s="10"/>
      <c r="G54" s="10"/>
      <c r="H54" s="10"/>
      <c r="I54" s="10"/>
    </row>
    <row r="55" spans="1:9" x14ac:dyDescent="0.2">
      <c r="B55" s="6"/>
      <c r="C55" s="10"/>
      <c r="D55" s="10"/>
      <c r="E55" s="10"/>
      <c r="F55" s="10"/>
      <c r="G55" s="10"/>
      <c r="H55" s="10"/>
      <c r="I55" s="10"/>
    </row>
    <row r="56" spans="1:9" x14ac:dyDescent="0.2">
      <c r="B56" s="6"/>
      <c r="C56" s="10"/>
      <c r="D56" s="10"/>
      <c r="E56" s="10"/>
      <c r="F56" s="10"/>
      <c r="G56" s="10"/>
      <c r="H56" s="10"/>
      <c r="I56" s="10"/>
    </row>
    <row r="57" spans="1:9" x14ac:dyDescent="0.2">
      <c r="B57" s="6"/>
      <c r="C57" s="10"/>
      <c r="D57" s="10"/>
      <c r="E57" s="10"/>
      <c r="F57" s="10"/>
      <c r="G57" s="10"/>
      <c r="H57" s="10"/>
      <c r="I57" s="10"/>
    </row>
    <row r="58" spans="1:9" x14ac:dyDescent="0.2">
      <c r="A58" s="16"/>
      <c r="B58" s="20" t="s">
        <v>653</v>
      </c>
      <c r="C58" s="112" t="s">
        <v>1433</v>
      </c>
      <c r="D58" s="112" t="s">
        <v>1433</v>
      </c>
      <c r="E58" s="112" t="s">
        <v>1433</v>
      </c>
      <c r="F58" s="112" t="s">
        <v>1433</v>
      </c>
      <c r="G58" s="112" t="s">
        <v>1433</v>
      </c>
      <c r="H58" s="112" t="s">
        <v>1433</v>
      </c>
      <c r="I58" s="112" t="s">
        <v>1433</v>
      </c>
    </row>
    <row r="59" spans="1:9" x14ac:dyDescent="0.2">
      <c r="A59" s="16"/>
      <c r="B59" s="4" t="s">
        <v>80</v>
      </c>
      <c r="C59" s="112" t="s">
        <v>1554</v>
      </c>
      <c r="D59" s="112" t="s">
        <v>1554</v>
      </c>
      <c r="E59" s="112" t="s">
        <v>1554</v>
      </c>
      <c r="F59" s="112" t="s">
        <v>1554</v>
      </c>
      <c r="G59" s="112" t="s">
        <v>1554</v>
      </c>
      <c r="H59" s="112" t="s">
        <v>1554</v>
      </c>
      <c r="I59" s="112" t="s">
        <v>1554</v>
      </c>
    </row>
    <row r="60" spans="1:9" x14ac:dyDescent="0.2">
      <c r="A60" s="16"/>
      <c r="B60" s="20" t="s">
        <v>861</v>
      </c>
      <c r="C60" s="112" t="s">
        <v>1433</v>
      </c>
      <c r="D60" s="112" t="s">
        <v>1433</v>
      </c>
      <c r="E60" s="112" t="s">
        <v>1433</v>
      </c>
      <c r="F60" s="112" t="s">
        <v>1433</v>
      </c>
      <c r="G60" s="112" t="s">
        <v>1433</v>
      </c>
      <c r="H60" s="112" t="s">
        <v>1433</v>
      </c>
      <c r="I60" s="112" t="s">
        <v>1433</v>
      </c>
    </row>
    <row r="61" spans="1:9" x14ac:dyDescent="0.2">
      <c r="A61" s="16"/>
      <c r="C61" s="129" t="str">
        <f t="shared" ref="C61:I61" si="6">+C$5</f>
        <v>2018 ACTUAL</v>
      </c>
      <c r="D61" s="129" t="str">
        <f t="shared" si="6"/>
        <v>2019 ACTUAL</v>
      </c>
      <c r="E61" s="129" t="str">
        <f t="shared" si="6"/>
        <v>2020 ACTUAL</v>
      </c>
      <c r="F61" s="129" t="str">
        <f t="shared" si="6"/>
        <v>2021 ACTUAL</v>
      </c>
      <c r="G61" s="129" t="str">
        <f t="shared" si="6"/>
        <v>2022 ACTUAL</v>
      </c>
      <c r="H61" s="129" t="str">
        <f t="shared" si="6"/>
        <v xml:space="preserve">2023 BUDGET </v>
      </c>
      <c r="I61" s="129" t="str">
        <f t="shared" si="6"/>
        <v xml:space="preserve">2024 BUDGET </v>
      </c>
    </row>
    <row r="62" spans="1:9" ht="12.75" hidden="1" customHeight="1" x14ac:dyDescent="0.2">
      <c r="A62" s="198" t="s">
        <v>201</v>
      </c>
      <c r="B62" s="20" t="s">
        <v>2016</v>
      </c>
      <c r="C62" s="10"/>
      <c r="D62" s="10"/>
      <c r="E62" s="10"/>
      <c r="F62" s="10"/>
      <c r="G62" s="10"/>
      <c r="H62" s="10"/>
      <c r="I62" s="10"/>
    </row>
    <row r="63" spans="1:9" ht="12.75" hidden="1" customHeight="1" x14ac:dyDescent="0.2">
      <c r="A63" s="16" t="s">
        <v>1430</v>
      </c>
      <c r="B63" s="126" t="s">
        <v>2205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</row>
    <row r="64" spans="1:9" hidden="1" x14ac:dyDescent="0.2">
      <c r="A64" s="16"/>
      <c r="B64" s="6" t="s">
        <v>1024</v>
      </c>
      <c r="C64" s="38">
        <f t="shared" ref="C64:G64" si="7">SUM(C63:C63)</f>
        <v>0</v>
      </c>
      <c r="D64" s="38">
        <f t="shared" si="7"/>
        <v>0</v>
      </c>
      <c r="E64" s="38">
        <f t="shared" si="7"/>
        <v>0</v>
      </c>
      <c r="F64" s="38">
        <f t="shared" si="7"/>
        <v>0</v>
      </c>
      <c r="G64" s="38">
        <f t="shared" si="7"/>
        <v>0</v>
      </c>
      <c r="H64" s="38">
        <f t="shared" ref="H64:I64" si="8">SUM(H63:H63)</f>
        <v>0</v>
      </c>
      <c r="I64" s="38">
        <f t="shared" si="8"/>
        <v>0</v>
      </c>
    </row>
    <row r="65" spans="1:9" hidden="1" x14ac:dyDescent="0.2">
      <c r="A65" s="16"/>
      <c r="B65" s="5"/>
      <c r="C65" s="10"/>
      <c r="D65" s="10"/>
      <c r="E65" s="10"/>
      <c r="F65" s="10"/>
      <c r="G65" s="10"/>
      <c r="H65" s="10"/>
      <c r="I65" s="10"/>
    </row>
    <row r="66" spans="1:9" x14ac:dyDescent="0.2">
      <c r="A66" s="198" t="s">
        <v>1501</v>
      </c>
      <c r="B66" s="4" t="s">
        <v>2206</v>
      </c>
      <c r="C66" s="10"/>
      <c r="D66" s="10"/>
      <c r="E66" s="10"/>
      <c r="F66" s="10"/>
      <c r="G66" s="10"/>
      <c r="H66" s="10"/>
      <c r="I66" s="10"/>
    </row>
    <row r="67" spans="1:9" x14ac:dyDescent="0.2">
      <c r="A67" s="16" t="s">
        <v>1502</v>
      </c>
      <c r="B67" s="125" t="s">
        <v>2216</v>
      </c>
      <c r="C67" s="10">
        <v>81000</v>
      </c>
      <c r="D67" s="10">
        <v>81000</v>
      </c>
      <c r="E67" s="10">
        <v>81000</v>
      </c>
      <c r="F67" s="10">
        <v>0</v>
      </c>
      <c r="G67" s="10">
        <v>0</v>
      </c>
      <c r="H67" s="10">
        <v>0</v>
      </c>
      <c r="I67" s="10">
        <v>0</v>
      </c>
    </row>
    <row r="68" spans="1:9" x14ac:dyDescent="0.2">
      <c r="A68" s="16" t="s">
        <v>1503</v>
      </c>
      <c r="B68" s="125" t="s">
        <v>1889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</row>
    <row r="69" spans="1:9" x14ac:dyDescent="0.2">
      <c r="A69" s="16" t="s">
        <v>1504</v>
      </c>
      <c r="B69" s="125" t="s">
        <v>1891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</row>
    <row r="70" spans="1:9" x14ac:dyDescent="0.2">
      <c r="A70" s="16" t="s">
        <v>1505</v>
      </c>
      <c r="B70" s="125" t="s">
        <v>2217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</row>
    <row r="71" spans="1:9" x14ac:dyDescent="0.2">
      <c r="A71" s="16" t="s">
        <v>1506</v>
      </c>
      <c r="B71" s="125" t="s">
        <v>2218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</row>
    <row r="72" spans="1:9" x14ac:dyDescent="0.2">
      <c r="A72" s="16"/>
      <c r="B72" s="6" t="s">
        <v>1024</v>
      </c>
      <c r="C72" s="38">
        <f t="shared" ref="C72:G72" si="9">SUM(C67:C71)</f>
        <v>81000</v>
      </c>
      <c r="D72" s="38">
        <f t="shared" si="9"/>
        <v>81000</v>
      </c>
      <c r="E72" s="38">
        <f t="shared" si="9"/>
        <v>81000</v>
      </c>
      <c r="F72" s="38">
        <f t="shared" si="9"/>
        <v>0</v>
      </c>
      <c r="G72" s="38">
        <f t="shared" si="9"/>
        <v>0</v>
      </c>
      <c r="H72" s="38">
        <f t="shared" ref="H72:I72" si="10">SUM(H67:H71)</f>
        <v>0</v>
      </c>
      <c r="I72" s="38">
        <f t="shared" si="10"/>
        <v>0</v>
      </c>
    </row>
    <row r="73" spans="1:9" x14ac:dyDescent="0.2">
      <c r="A73" s="16"/>
      <c r="B73" s="6"/>
      <c r="C73" s="10"/>
      <c r="D73" s="10"/>
      <c r="E73" s="10"/>
      <c r="F73" s="10"/>
      <c r="G73" s="10"/>
      <c r="H73" s="10"/>
      <c r="I73" s="10"/>
    </row>
    <row r="74" spans="1:9" ht="12.75" customHeight="1" x14ac:dyDescent="0.2">
      <c r="A74" s="198" t="s">
        <v>2342</v>
      </c>
      <c r="B74" s="20" t="s">
        <v>2330</v>
      </c>
      <c r="C74" s="10"/>
      <c r="D74" s="10"/>
      <c r="E74" s="10"/>
      <c r="F74" s="10"/>
      <c r="G74" s="10"/>
      <c r="H74" s="10"/>
      <c r="I74" s="10"/>
    </row>
    <row r="75" spans="1:9" ht="12.75" customHeight="1" x14ac:dyDescent="0.2">
      <c r="A75" s="35" t="s">
        <v>2444</v>
      </c>
      <c r="B75" s="126" t="s">
        <v>1895</v>
      </c>
      <c r="C75" s="10">
        <v>0</v>
      </c>
      <c r="D75" s="10">
        <v>0</v>
      </c>
      <c r="E75" s="10">
        <v>0</v>
      </c>
      <c r="F75" s="10">
        <v>36.67</v>
      </c>
      <c r="G75" s="10">
        <v>0</v>
      </c>
      <c r="H75" s="10">
        <v>0</v>
      </c>
      <c r="I75" s="10">
        <v>0</v>
      </c>
    </row>
    <row r="76" spans="1:9" ht="12.75" customHeight="1" x14ac:dyDescent="0.2">
      <c r="A76" s="35" t="s">
        <v>2445</v>
      </c>
      <c r="B76" s="126" t="s">
        <v>1907</v>
      </c>
      <c r="C76" s="10">
        <v>0</v>
      </c>
      <c r="D76" s="10">
        <v>0</v>
      </c>
      <c r="E76" s="10">
        <v>0</v>
      </c>
      <c r="F76" s="10">
        <v>222.7</v>
      </c>
      <c r="G76" s="10">
        <v>0</v>
      </c>
      <c r="H76" s="10">
        <v>0</v>
      </c>
      <c r="I76" s="10">
        <v>0</v>
      </c>
    </row>
    <row r="77" spans="1:9" ht="12.75" customHeight="1" x14ac:dyDescent="0.2">
      <c r="A77" s="16" t="s">
        <v>2343</v>
      </c>
      <c r="B77" s="126" t="s">
        <v>2205</v>
      </c>
      <c r="C77" s="12">
        <v>0</v>
      </c>
      <c r="D77" s="12">
        <v>0</v>
      </c>
      <c r="E77" s="12">
        <v>12461.94</v>
      </c>
      <c r="F77" s="12">
        <v>68612.649999999994</v>
      </c>
      <c r="G77" s="12">
        <v>0</v>
      </c>
      <c r="H77" s="12">
        <v>0</v>
      </c>
      <c r="I77" s="12">
        <v>0</v>
      </c>
    </row>
    <row r="78" spans="1:9" x14ac:dyDescent="0.2">
      <c r="A78" s="16"/>
      <c r="B78" s="6" t="s">
        <v>1024</v>
      </c>
      <c r="C78" s="38">
        <f>SUM(C75:C77)</f>
        <v>0</v>
      </c>
      <c r="D78" s="38">
        <f>SUM(D75:D77)</f>
        <v>0</v>
      </c>
      <c r="E78" s="38">
        <f>SUM(E75:E77)</f>
        <v>12461.94</v>
      </c>
      <c r="F78" s="38">
        <f t="shared" ref="F78:H78" si="11">SUM(F75:F77)</f>
        <v>68872.01999999999</v>
      </c>
      <c r="G78" s="38">
        <f t="shared" si="11"/>
        <v>0</v>
      </c>
      <c r="H78" s="38">
        <f t="shared" si="11"/>
        <v>0</v>
      </c>
      <c r="I78" s="38">
        <f t="shared" ref="I78" si="12">SUM(I75:I77)</f>
        <v>0</v>
      </c>
    </row>
    <row r="79" spans="1:9" x14ac:dyDescent="0.2">
      <c r="A79" s="16"/>
      <c r="B79" s="5"/>
      <c r="C79" s="10"/>
      <c r="D79" s="10"/>
      <c r="E79" s="10"/>
      <c r="F79" s="10"/>
      <c r="G79" s="10"/>
      <c r="H79" s="10"/>
      <c r="I79" s="10"/>
    </row>
    <row r="80" spans="1:9" x14ac:dyDescent="0.2">
      <c r="A80" s="198" t="s">
        <v>1507</v>
      </c>
      <c r="B80" s="20" t="s">
        <v>2207</v>
      </c>
      <c r="C80" s="10" t="s">
        <v>1433</v>
      </c>
      <c r="D80" s="10" t="s">
        <v>1433</v>
      </c>
      <c r="E80" s="10" t="s">
        <v>1433</v>
      </c>
      <c r="F80" s="10" t="s">
        <v>1433</v>
      </c>
      <c r="G80" s="10" t="s">
        <v>1433</v>
      </c>
      <c r="H80" s="10" t="s">
        <v>1433</v>
      </c>
      <c r="I80" s="10" t="s">
        <v>1433</v>
      </c>
    </row>
    <row r="81" spans="1:9" x14ac:dyDescent="0.2">
      <c r="A81" s="16" t="s">
        <v>1508</v>
      </c>
      <c r="B81" s="126" t="s">
        <v>2219</v>
      </c>
      <c r="C81" s="10">
        <v>0</v>
      </c>
      <c r="D81" s="10">
        <v>5834.6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</row>
    <row r="82" spans="1:9" x14ac:dyDescent="0.2">
      <c r="A82" s="16" t="s">
        <v>1509</v>
      </c>
      <c r="B82" s="125" t="s">
        <v>1889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</row>
    <row r="83" spans="1:9" x14ac:dyDescent="0.2">
      <c r="A83" s="16" t="s">
        <v>1510</v>
      </c>
      <c r="B83" s="125" t="s">
        <v>1891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</row>
    <row r="84" spans="1:9" x14ac:dyDescent="0.2">
      <c r="A84" s="16" t="s">
        <v>1512</v>
      </c>
      <c r="B84" s="126" t="s">
        <v>1895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</row>
    <row r="85" spans="1:9" x14ac:dyDescent="0.2">
      <c r="A85" s="16" t="s">
        <v>1511</v>
      </c>
      <c r="B85" s="126" t="s">
        <v>1898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</row>
    <row r="86" spans="1:9" x14ac:dyDescent="0.2">
      <c r="A86" s="16" t="s">
        <v>1513</v>
      </c>
      <c r="B86" s="126" t="s">
        <v>1900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</row>
    <row r="87" spans="1:9" x14ac:dyDescent="0.2">
      <c r="A87" s="16"/>
      <c r="B87" s="6" t="s">
        <v>1024</v>
      </c>
      <c r="C87" s="38">
        <f t="shared" ref="C87:G87" si="13">SUM(C81:C86)</f>
        <v>0</v>
      </c>
      <c r="D87" s="38">
        <f t="shared" si="13"/>
        <v>5834.6</v>
      </c>
      <c r="E87" s="38">
        <f t="shared" si="13"/>
        <v>0</v>
      </c>
      <c r="F87" s="38">
        <f t="shared" si="13"/>
        <v>0</v>
      </c>
      <c r="G87" s="38">
        <f t="shared" si="13"/>
        <v>0</v>
      </c>
      <c r="H87" s="38">
        <f t="shared" ref="H87:I87" si="14">SUM(H81:H86)</f>
        <v>0</v>
      </c>
      <c r="I87" s="38">
        <f t="shared" si="14"/>
        <v>0</v>
      </c>
    </row>
    <row r="88" spans="1:9" x14ac:dyDescent="0.2">
      <c r="A88" s="16"/>
      <c r="B88" s="6"/>
      <c r="C88" s="10"/>
      <c r="D88" s="10"/>
      <c r="E88" s="10"/>
      <c r="F88" s="10"/>
      <c r="G88" s="10"/>
      <c r="H88" s="10"/>
      <c r="I88" s="10"/>
    </row>
    <row r="89" spans="1:9" x14ac:dyDescent="0.2">
      <c r="A89" s="198" t="s">
        <v>1514</v>
      </c>
      <c r="B89" s="20" t="s">
        <v>2208</v>
      </c>
      <c r="C89" s="10"/>
      <c r="D89" s="10"/>
      <c r="E89" s="10"/>
      <c r="F89" s="10"/>
      <c r="G89" s="10"/>
      <c r="H89" s="10"/>
      <c r="I89" s="10"/>
    </row>
    <row r="90" spans="1:9" x14ac:dyDescent="0.2">
      <c r="A90" s="16" t="s">
        <v>1515</v>
      </c>
      <c r="B90" s="126" t="s">
        <v>2219</v>
      </c>
      <c r="C90" s="10">
        <v>470.12</v>
      </c>
      <c r="D90" s="10">
        <v>9654.39</v>
      </c>
      <c r="E90" s="10">
        <v>24043.71</v>
      </c>
      <c r="F90" s="10">
        <v>28934.43</v>
      </c>
      <c r="G90" s="10">
        <v>17337.560000000001</v>
      </c>
      <c r="H90" s="10">
        <v>0</v>
      </c>
      <c r="I90" s="10">
        <v>0</v>
      </c>
    </row>
    <row r="91" spans="1:9" x14ac:dyDescent="0.2">
      <c r="A91" s="16" t="s">
        <v>1516</v>
      </c>
      <c r="B91" s="125" t="s">
        <v>1891</v>
      </c>
      <c r="C91" s="10">
        <v>34.36</v>
      </c>
      <c r="D91" s="10">
        <v>724.12</v>
      </c>
      <c r="E91" s="10">
        <v>1820.53</v>
      </c>
      <c r="F91" s="10">
        <v>2202.6999999999998</v>
      </c>
      <c r="G91" s="10">
        <v>1323.34</v>
      </c>
      <c r="H91" s="10">
        <v>0</v>
      </c>
      <c r="I91" s="10">
        <v>0</v>
      </c>
    </row>
    <row r="92" spans="1:9" x14ac:dyDescent="0.2">
      <c r="A92" s="16" t="s">
        <v>1517</v>
      </c>
      <c r="B92" s="125" t="s">
        <v>2217</v>
      </c>
      <c r="C92" s="10">
        <v>53.15</v>
      </c>
      <c r="D92" s="10">
        <v>1133.08</v>
      </c>
      <c r="E92" s="10">
        <v>2929.64</v>
      </c>
      <c r="F92" s="10">
        <v>3530.63</v>
      </c>
      <c r="G92" s="10">
        <v>2141.1999999999998</v>
      </c>
      <c r="H92" s="10">
        <v>0</v>
      </c>
      <c r="I92" s="10">
        <v>0</v>
      </c>
    </row>
    <row r="93" spans="1:9" x14ac:dyDescent="0.2">
      <c r="A93" s="16" t="s">
        <v>939</v>
      </c>
      <c r="B93" s="125" t="s">
        <v>2218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</row>
    <row r="94" spans="1:9" x14ac:dyDescent="0.2">
      <c r="A94" s="16" t="s">
        <v>202</v>
      </c>
      <c r="B94" s="126" t="s">
        <v>2220</v>
      </c>
      <c r="C94" s="10">
        <v>0</v>
      </c>
      <c r="D94" s="10">
        <v>200</v>
      </c>
      <c r="E94" s="10">
        <v>400</v>
      </c>
      <c r="F94" s="10">
        <v>500</v>
      </c>
      <c r="G94" s="10">
        <v>300</v>
      </c>
      <c r="H94" s="10">
        <v>0</v>
      </c>
      <c r="I94" s="10">
        <v>0</v>
      </c>
    </row>
    <row r="95" spans="1:9" x14ac:dyDescent="0.2">
      <c r="A95" s="16" t="s">
        <v>203</v>
      </c>
      <c r="B95" s="126" t="s">
        <v>2221</v>
      </c>
      <c r="C95" s="10">
        <v>0</v>
      </c>
      <c r="D95" s="10">
        <v>500</v>
      </c>
      <c r="E95" s="10">
        <v>675</v>
      </c>
      <c r="F95" s="10">
        <v>1050</v>
      </c>
      <c r="G95" s="10">
        <v>550</v>
      </c>
      <c r="H95" s="10">
        <v>0</v>
      </c>
      <c r="I95" s="10">
        <v>0</v>
      </c>
    </row>
    <row r="96" spans="1:9" x14ac:dyDescent="0.2">
      <c r="A96" s="16" t="s">
        <v>1518</v>
      </c>
      <c r="B96" s="126" t="s">
        <v>1898</v>
      </c>
      <c r="C96" s="12">
        <v>0</v>
      </c>
      <c r="D96" s="12">
        <v>260.08999999999997</v>
      </c>
      <c r="E96" s="12">
        <v>181.12</v>
      </c>
      <c r="F96" s="12">
        <v>114.68</v>
      </c>
      <c r="G96" s="12">
        <v>222.9</v>
      </c>
      <c r="H96" s="12">
        <v>0</v>
      </c>
      <c r="I96" s="12">
        <v>0</v>
      </c>
    </row>
    <row r="97" spans="1:9" x14ac:dyDescent="0.2">
      <c r="A97" s="16"/>
      <c r="B97" s="6" t="s">
        <v>1024</v>
      </c>
      <c r="C97" s="38">
        <f t="shared" ref="C97:G97" si="15">SUM(C90:C96)</f>
        <v>557.63</v>
      </c>
      <c r="D97" s="38">
        <f t="shared" si="15"/>
        <v>12471.68</v>
      </c>
      <c r="E97" s="38">
        <f t="shared" si="15"/>
        <v>30049.999999999996</v>
      </c>
      <c r="F97" s="38">
        <f t="shared" si="15"/>
        <v>36332.44</v>
      </c>
      <c r="G97" s="38">
        <f t="shared" si="15"/>
        <v>21875.000000000004</v>
      </c>
      <c r="H97" s="38">
        <f t="shared" ref="H97:I97" si="16">SUM(H90:H96)</f>
        <v>0</v>
      </c>
      <c r="I97" s="38">
        <f t="shared" si="16"/>
        <v>0</v>
      </c>
    </row>
    <row r="98" spans="1:9" x14ac:dyDescent="0.2">
      <c r="A98" s="16"/>
      <c r="B98" s="6"/>
      <c r="C98" s="10"/>
      <c r="D98" s="10"/>
      <c r="E98" s="10"/>
      <c r="F98" s="10"/>
      <c r="G98" s="10"/>
      <c r="H98" s="10"/>
      <c r="I98" s="10"/>
    </row>
    <row r="99" spans="1:9" x14ac:dyDescent="0.2">
      <c r="A99" s="198" t="s">
        <v>57</v>
      </c>
      <c r="B99" s="4" t="s">
        <v>2209</v>
      </c>
      <c r="C99" s="10"/>
      <c r="D99" s="10"/>
      <c r="E99" s="10"/>
      <c r="F99" s="10"/>
      <c r="G99" s="10"/>
      <c r="H99" s="10"/>
      <c r="I99" s="10"/>
    </row>
    <row r="100" spans="1:9" x14ac:dyDescent="0.2">
      <c r="A100" s="16" t="s">
        <v>89</v>
      </c>
      <c r="B100" s="126" t="s">
        <v>2203</v>
      </c>
      <c r="C100" s="12">
        <v>0</v>
      </c>
      <c r="D100" s="12">
        <v>0</v>
      </c>
      <c r="E100" s="12">
        <v>0</v>
      </c>
      <c r="F100" s="12">
        <v>904858.3</v>
      </c>
      <c r="G100" s="12">
        <v>0</v>
      </c>
      <c r="H100" s="12">
        <v>0</v>
      </c>
      <c r="I100" s="12">
        <v>0</v>
      </c>
    </row>
    <row r="101" spans="1:9" x14ac:dyDescent="0.2">
      <c r="A101" s="16"/>
      <c r="B101" s="6" t="s">
        <v>1024</v>
      </c>
      <c r="C101" s="12">
        <f t="shared" ref="C101:G101" si="17">SUM(C100)</f>
        <v>0</v>
      </c>
      <c r="D101" s="12">
        <f t="shared" si="17"/>
        <v>0</v>
      </c>
      <c r="E101" s="12">
        <f t="shared" si="17"/>
        <v>0</v>
      </c>
      <c r="F101" s="12">
        <f t="shared" si="17"/>
        <v>904858.3</v>
      </c>
      <c r="G101" s="12">
        <f t="shared" si="17"/>
        <v>0</v>
      </c>
      <c r="H101" s="12">
        <f t="shared" ref="H101:I101" si="18">SUM(H100)</f>
        <v>0</v>
      </c>
      <c r="I101" s="12">
        <f t="shared" si="18"/>
        <v>0</v>
      </c>
    </row>
    <row r="102" spans="1:9" x14ac:dyDescent="0.2">
      <c r="A102" s="16"/>
      <c r="B102" s="6"/>
      <c r="C102" s="10"/>
      <c r="D102" s="10"/>
      <c r="E102" s="10"/>
      <c r="F102" s="10"/>
      <c r="G102" s="10"/>
      <c r="H102" s="10"/>
      <c r="I102" s="10"/>
    </row>
    <row r="103" spans="1:9" hidden="1" x14ac:dyDescent="0.2">
      <c r="A103" s="52" t="s">
        <v>1609</v>
      </c>
      <c r="B103" s="20" t="s">
        <v>2210</v>
      </c>
      <c r="C103" s="10"/>
      <c r="D103" s="10"/>
      <c r="E103" s="10"/>
      <c r="F103" s="10"/>
      <c r="G103" s="10"/>
      <c r="H103" s="10"/>
      <c r="I103" s="10"/>
    </row>
    <row r="104" spans="1:9" hidden="1" x14ac:dyDescent="0.2">
      <c r="A104" s="52" t="s">
        <v>1610</v>
      </c>
      <c r="B104" s="126" t="s">
        <v>2219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</row>
    <row r="105" spans="1:9" hidden="1" x14ac:dyDescent="0.2">
      <c r="A105" s="16" t="s">
        <v>1627</v>
      </c>
      <c r="B105" s="125" t="s">
        <v>1891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</row>
    <row r="106" spans="1:9" hidden="1" x14ac:dyDescent="0.2">
      <c r="A106" s="52" t="s">
        <v>1628</v>
      </c>
      <c r="B106" s="125" t="s">
        <v>2217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</row>
    <row r="107" spans="1:9" hidden="1" x14ac:dyDescent="0.2">
      <c r="A107" s="52" t="s">
        <v>1629</v>
      </c>
      <c r="B107" s="125" t="s">
        <v>2218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</row>
    <row r="108" spans="1:9" hidden="1" x14ac:dyDescent="0.2">
      <c r="A108" s="16"/>
      <c r="B108" s="6" t="s">
        <v>1024</v>
      </c>
      <c r="C108" s="38">
        <f t="shared" ref="C108:G108" si="19">SUM(C104:C107)</f>
        <v>0</v>
      </c>
      <c r="D108" s="38">
        <f t="shared" si="19"/>
        <v>0</v>
      </c>
      <c r="E108" s="38">
        <f t="shared" si="19"/>
        <v>0</v>
      </c>
      <c r="F108" s="38">
        <f t="shared" si="19"/>
        <v>0</v>
      </c>
      <c r="G108" s="38">
        <f t="shared" si="19"/>
        <v>0</v>
      </c>
      <c r="H108" s="38">
        <f t="shared" ref="H108:I108" si="20">SUM(H104:H107)</f>
        <v>0</v>
      </c>
      <c r="I108" s="38">
        <f t="shared" si="20"/>
        <v>0</v>
      </c>
    </row>
    <row r="109" spans="1:9" hidden="1" x14ac:dyDescent="0.2">
      <c r="A109" s="16"/>
      <c r="B109" s="6"/>
      <c r="C109" s="10"/>
      <c r="D109" s="10"/>
      <c r="E109" s="10"/>
      <c r="F109" s="10"/>
      <c r="G109" s="10"/>
      <c r="H109" s="10"/>
      <c r="I109" s="10"/>
    </row>
    <row r="110" spans="1:9" hidden="1" x14ac:dyDescent="0.2">
      <c r="A110" s="16" t="s">
        <v>1624</v>
      </c>
      <c r="B110" s="4" t="s">
        <v>2211</v>
      </c>
      <c r="C110" s="10"/>
      <c r="D110" s="10"/>
      <c r="E110" s="10"/>
      <c r="F110" s="10"/>
      <c r="G110" s="10"/>
      <c r="H110" s="10"/>
      <c r="I110" s="10"/>
    </row>
    <row r="111" spans="1:9" hidden="1" x14ac:dyDescent="0.2">
      <c r="A111" s="16" t="s">
        <v>1625</v>
      </c>
      <c r="B111" s="126" t="s">
        <v>2205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</row>
    <row r="112" spans="1:9" hidden="1" x14ac:dyDescent="0.2">
      <c r="A112" s="16"/>
      <c r="B112" s="6" t="s">
        <v>1024</v>
      </c>
      <c r="C112" s="38">
        <f t="shared" ref="C112:G112" si="21">SUM(C111:C111)</f>
        <v>0</v>
      </c>
      <c r="D112" s="38">
        <f t="shared" si="21"/>
        <v>0</v>
      </c>
      <c r="E112" s="38">
        <f t="shared" si="21"/>
        <v>0</v>
      </c>
      <c r="F112" s="38">
        <f t="shared" si="21"/>
        <v>0</v>
      </c>
      <c r="G112" s="38">
        <f t="shared" si="21"/>
        <v>0</v>
      </c>
      <c r="H112" s="38">
        <f t="shared" ref="H112:I112" si="22">SUM(H111:H111)</f>
        <v>0</v>
      </c>
      <c r="I112" s="38">
        <f t="shared" si="22"/>
        <v>0</v>
      </c>
    </row>
    <row r="113" spans="1:9" hidden="1" x14ac:dyDescent="0.2">
      <c r="A113" s="16"/>
      <c r="B113" s="6"/>
      <c r="C113" s="10"/>
      <c r="D113" s="10"/>
      <c r="E113" s="10"/>
      <c r="F113" s="10"/>
      <c r="G113" s="10"/>
      <c r="H113" s="10"/>
      <c r="I113" s="10"/>
    </row>
    <row r="114" spans="1:9" ht="15" customHeight="1" x14ac:dyDescent="0.2">
      <c r="A114" s="198" t="s">
        <v>1498</v>
      </c>
      <c r="B114" s="4" t="s">
        <v>2212</v>
      </c>
      <c r="C114" s="10"/>
      <c r="D114" s="10"/>
      <c r="E114" s="10"/>
      <c r="F114" s="10"/>
      <c r="G114" s="10"/>
      <c r="H114" s="10"/>
      <c r="I114" s="10"/>
    </row>
    <row r="115" spans="1:9" ht="15" customHeight="1" x14ac:dyDescent="0.2">
      <c r="A115" s="16" t="s">
        <v>1499</v>
      </c>
      <c r="B115" s="126" t="s">
        <v>2219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</row>
    <row r="116" spans="1:9" ht="15" customHeight="1" x14ac:dyDescent="0.2">
      <c r="A116" s="16" t="s">
        <v>1500</v>
      </c>
      <c r="B116" s="126" t="s">
        <v>1920</v>
      </c>
      <c r="C116" s="12">
        <v>0</v>
      </c>
      <c r="D116" s="12">
        <v>4397.8</v>
      </c>
      <c r="E116" s="12">
        <v>2723.16</v>
      </c>
      <c r="F116" s="12">
        <v>0</v>
      </c>
      <c r="G116" s="12">
        <v>2329.36</v>
      </c>
      <c r="H116" s="17">
        <v>4500</v>
      </c>
      <c r="I116" s="17">
        <f>+H116</f>
        <v>4500</v>
      </c>
    </row>
    <row r="117" spans="1:9" ht="15" customHeight="1" x14ac:dyDescent="0.2">
      <c r="A117" s="16"/>
      <c r="B117" s="6" t="s">
        <v>1024</v>
      </c>
      <c r="C117" s="38">
        <f t="shared" ref="C117:G117" si="23">SUM(C115:C116)</f>
        <v>0</v>
      </c>
      <c r="D117" s="38">
        <f t="shared" si="23"/>
        <v>4397.8</v>
      </c>
      <c r="E117" s="38">
        <f t="shared" si="23"/>
        <v>2723.16</v>
      </c>
      <c r="F117" s="38">
        <f t="shared" si="23"/>
        <v>0</v>
      </c>
      <c r="G117" s="38">
        <f t="shared" si="23"/>
        <v>2329.36</v>
      </c>
      <c r="H117" s="38">
        <f t="shared" ref="H117:I117" si="24">SUM(H115:H116)</f>
        <v>4500</v>
      </c>
      <c r="I117" s="38">
        <f t="shared" si="24"/>
        <v>4500</v>
      </c>
    </row>
    <row r="118" spans="1:9" ht="15" hidden="1" customHeight="1" x14ac:dyDescent="0.2">
      <c r="A118" s="16"/>
      <c r="B118" s="6"/>
      <c r="C118" s="10"/>
      <c r="D118" s="10"/>
      <c r="E118" s="10"/>
      <c r="F118" s="10"/>
      <c r="G118" s="10"/>
      <c r="H118" s="10"/>
      <c r="I118" s="10"/>
    </row>
    <row r="119" spans="1:9" hidden="1" x14ac:dyDescent="0.2">
      <c r="A119" s="16" t="s">
        <v>1492</v>
      </c>
      <c r="B119" s="4" t="s">
        <v>1493</v>
      </c>
      <c r="C119" s="10"/>
      <c r="D119" s="10"/>
      <c r="E119" s="10"/>
      <c r="F119" s="10"/>
      <c r="G119" s="10"/>
      <c r="H119" s="10"/>
      <c r="I119" s="10"/>
    </row>
    <row r="120" spans="1:9" hidden="1" x14ac:dyDescent="0.2">
      <c r="A120" s="16" t="s">
        <v>1494</v>
      </c>
      <c r="B120" s="5" t="s">
        <v>1028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</row>
    <row r="121" spans="1:9" hidden="1" x14ac:dyDescent="0.2">
      <c r="A121" s="16"/>
      <c r="B121" s="6" t="s">
        <v>1024</v>
      </c>
      <c r="C121" s="38">
        <f t="shared" ref="C121:G121" si="25">SUM(C120)</f>
        <v>0</v>
      </c>
      <c r="D121" s="38">
        <f t="shared" si="25"/>
        <v>0</v>
      </c>
      <c r="E121" s="38">
        <f t="shared" si="25"/>
        <v>0</v>
      </c>
      <c r="F121" s="38">
        <f t="shared" si="25"/>
        <v>0</v>
      </c>
      <c r="G121" s="38">
        <f t="shared" si="25"/>
        <v>0</v>
      </c>
      <c r="H121" s="38">
        <f t="shared" ref="H121:I121" si="26">SUM(H120)</f>
        <v>0</v>
      </c>
      <c r="I121" s="38">
        <f t="shared" si="26"/>
        <v>0</v>
      </c>
    </row>
    <row r="122" spans="1:9" hidden="1" x14ac:dyDescent="0.2">
      <c r="A122" s="16"/>
      <c r="B122" s="5"/>
      <c r="C122" s="10"/>
      <c r="D122" s="10"/>
      <c r="E122" s="10"/>
      <c r="F122" s="10"/>
      <c r="G122" s="10"/>
      <c r="H122" s="10"/>
      <c r="I122" s="10"/>
    </row>
    <row r="123" spans="1:9" hidden="1" x14ac:dyDescent="0.2">
      <c r="A123" s="16" t="s">
        <v>451</v>
      </c>
      <c r="B123" s="4" t="s">
        <v>759</v>
      </c>
      <c r="C123" s="10"/>
      <c r="D123" s="10"/>
      <c r="E123" s="10"/>
      <c r="F123" s="10"/>
      <c r="G123" s="10"/>
      <c r="H123" s="10"/>
      <c r="I123" s="10"/>
    </row>
    <row r="124" spans="1:9" hidden="1" x14ac:dyDescent="0.2">
      <c r="A124" s="16" t="s">
        <v>450</v>
      </c>
      <c r="B124" s="5" t="s">
        <v>1028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</row>
    <row r="125" spans="1:9" hidden="1" x14ac:dyDescent="0.2">
      <c r="A125" s="16"/>
      <c r="B125" s="6" t="s">
        <v>1024</v>
      </c>
      <c r="C125" s="38">
        <f t="shared" ref="C125:G125" si="27">SUM(C124)</f>
        <v>0</v>
      </c>
      <c r="D125" s="38">
        <f t="shared" si="27"/>
        <v>0</v>
      </c>
      <c r="E125" s="38">
        <f t="shared" si="27"/>
        <v>0</v>
      </c>
      <c r="F125" s="38">
        <f t="shared" si="27"/>
        <v>0</v>
      </c>
      <c r="G125" s="38">
        <f t="shared" si="27"/>
        <v>0</v>
      </c>
      <c r="H125" s="38">
        <f t="shared" ref="H125:I125" si="28">SUM(H124)</f>
        <v>0</v>
      </c>
      <c r="I125" s="38">
        <f t="shared" si="28"/>
        <v>0</v>
      </c>
    </row>
    <row r="126" spans="1:9" ht="12.75" hidden="1" customHeight="1" x14ac:dyDescent="0.2">
      <c r="A126" s="16"/>
      <c r="B126" s="5"/>
      <c r="C126" s="10"/>
      <c r="D126" s="10"/>
      <c r="E126" s="10"/>
      <c r="F126" s="10"/>
      <c r="G126" s="10"/>
      <c r="H126" s="10"/>
      <c r="I126" s="10"/>
    </row>
    <row r="127" spans="1:9" ht="12.75" hidden="1" customHeight="1" x14ac:dyDescent="0.2">
      <c r="A127" s="16" t="s">
        <v>452</v>
      </c>
      <c r="B127" s="4" t="s">
        <v>128</v>
      </c>
      <c r="C127" s="10"/>
      <c r="D127" s="10"/>
      <c r="E127" s="10"/>
      <c r="F127" s="10"/>
      <c r="G127" s="10"/>
      <c r="H127" s="10"/>
      <c r="I127" s="10"/>
    </row>
    <row r="128" spans="1:9" ht="12.75" hidden="1" customHeight="1" x14ac:dyDescent="0.2">
      <c r="A128" s="16" t="s">
        <v>129</v>
      </c>
      <c r="B128" s="5" t="s">
        <v>1028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</row>
    <row r="129" spans="1:9" ht="12.75" hidden="1" customHeight="1" x14ac:dyDescent="0.2">
      <c r="A129" s="16"/>
      <c r="B129" s="6" t="s">
        <v>1024</v>
      </c>
      <c r="C129" s="38">
        <f t="shared" ref="C129:G129" si="29">SUM(C128)</f>
        <v>0</v>
      </c>
      <c r="D129" s="38">
        <f t="shared" si="29"/>
        <v>0</v>
      </c>
      <c r="E129" s="38">
        <f t="shared" si="29"/>
        <v>0</v>
      </c>
      <c r="F129" s="38">
        <f t="shared" si="29"/>
        <v>0</v>
      </c>
      <c r="G129" s="38">
        <f t="shared" si="29"/>
        <v>0</v>
      </c>
      <c r="H129" s="38">
        <f t="shared" ref="H129:I129" si="30">SUM(H128)</f>
        <v>0</v>
      </c>
      <c r="I129" s="38">
        <f t="shared" si="30"/>
        <v>0</v>
      </c>
    </row>
    <row r="130" spans="1:9" ht="12.75" hidden="1" customHeight="1" x14ac:dyDescent="0.2">
      <c r="A130" s="16"/>
      <c r="B130" s="6"/>
      <c r="C130" s="10"/>
      <c r="D130" s="10"/>
      <c r="E130" s="10"/>
      <c r="F130" s="10"/>
      <c r="G130" s="10"/>
      <c r="H130" s="10"/>
      <c r="I130" s="10"/>
    </row>
    <row r="131" spans="1:9" ht="12.75" hidden="1" customHeight="1" x14ac:dyDescent="0.2">
      <c r="A131" s="16" t="s">
        <v>940</v>
      </c>
      <c r="B131" s="4" t="s">
        <v>136</v>
      </c>
      <c r="C131" s="10"/>
      <c r="D131" s="10"/>
      <c r="E131" s="10"/>
      <c r="F131" s="10"/>
      <c r="G131" s="10"/>
      <c r="H131" s="10"/>
      <c r="I131" s="10"/>
    </row>
    <row r="132" spans="1:9" ht="12.75" hidden="1" customHeight="1" x14ac:dyDescent="0.2">
      <c r="A132" s="16" t="s">
        <v>941</v>
      </c>
      <c r="B132" s="5" t="s">
        <v>1028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</row>
    <row r="133" spans="1:9" ht="12.75" hidden="1" customHeight="1" x14ac:dyDescent="0.2">
      <c r="A133" s="16"/>
      <c r="B133" s="6" t="s">
        <v>1024</v>
      </c>
      <c r="C133" s="38">
        <f t="shared" ref="C133:G133" si="31">SUM(C132)</f>
        <v>0</v>
      </c>
      <c r="D133" s="38">
        <f t="shared" si="31"/>
        <v>0</v>
      </c>
      <c r="E133" s="38">
        <f t="shared" si="31"/>
        <v>0</v>
      </c>
      <c r="F133" s="38">
        <f t="shared" si="31"/>
        <v>0</v>
      </c>
      <c r="G133" s="38">
        <f t="shared" si="31"/>
        <v>0</v>
      </c>
      <c r="H133" s="38">
        <f t="shared" ref="H133:I133" si="32">SUM(H132)</f>
        <v>0</v>
      </c>
      <c r="I133" s="38">
        <f t="shared" si="32"/>
        <v>0</v>
      </c>
    </row>
    <row r="134" spans="1:9" ht="12.75" customHeight="1" x14ac:dyDescent="0.2">
      <c r="A134" s="16"/>
      <c r="B134" s="6"/>
      <c r="C134" s="10"/>
      <c r="D134" s="10"/>
      <c r="E134" s="10"/>
      <c r="F134" s="10"/>
      <c r="G134" s="10"/>
      <c r="H134" s="10"/>
      <c r="I134" s="10"/>
    </row>
    <row r="135" spans="1:9" ht="12.75" hidden="1" customHeight="1" x14ac:dyDescent="0.2">
      <c r="A135" s="16" t="s">
        <v>942</v>
      </c>
      <c r="B135" s="4" t="s">
        <v>943</v>
      </c>
      <c r="C135" s="10"/>
      <c r="D135" s="10"/>
      <c r="E135" s="10"/>
      <c r="F135" s="10"/>
      <c r="G135" s="10"/>
      <c r="H135" s="10"/>
      <c r="I135" s="10"/>
    </row>
    <row r="136" spans="1:9" ht="12.75" hidden="1" customHeight="1" x14ac:dyDescent="0.2">
      <c r="A136" s="16" t="s">
        <v>944</v>
      </c>
      <c r="B136" s="5" t="s">
        <v>1028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</row>
    <row r="137" spans="1:9" hidden="1" x14ac:dyDescent="0.2">
      <c r="A137" s="16"/>
      <c r="B137" s="6" t="s">
        <v>1024</v>
      </c>
      <c r="C137" s="38">
        <f t="shared" ref="C137:G137" si="33">SUM(C136)</f>
        <v>0</v>
      </c>
      <c r="D137" s="38">
        <f t="shared" si="33"/>
        <v>0</v>
      </c>
      <c r="E137" s="38">
        <f t="shared" si="33"/>
        <v>0</v>
      </c>
      <c r="F137" s="38">
        <f t="shared" si="33"/>
        <v>0</v>
      </c>
      <c r="G137" s="38">
        <f t="shared" si="33"/>
        <v>0</v>
      </c>
      <c r="H137" s="38">
        <f t="shared" ref="H137:I137" si="34">SUM(H136)</f>
        <v>0</v>
      </c>
      <c r="I137" s="38">
        <f t="shared" si="34"/>
        <v>0</v>
      </c>
    </row>
    <row r="138" spans="1:9" ht="12.75" hidden="1" customHeight="1" x14ac:dyDescent="0.2">
      <c r="A138" s="16"/>
      <c r="B138" s="5"/>
      <c r="C138" s="10"/>
      <c r="D138" s="10"/>
      <c r="E138" s="10"/>
      <c r="F138" s="10"/>
      <c r="G138" s="10"/>
      <c r="H138" s="10"/>
      <c r="I138" s="10"/>
    </row>
    <row r="139" spans="1:9" ht="12.75" hidden="1" customHeight="1" x14ac:dyDescent="0.2">
      <c r="A139" s="16" t="s">
        <v>945</v>
      </c>
      <c r="B139" s="4" t="s">
        <v>204</v>
      </c>
      <c r="C139" s="10"/>
      <c r="D139" s="10"/>
      <c r="E139" s="10"/>
      <c r="F139" s="10"/>
      <c r="G139" s="10"/>
      <c r="H139" s="10"/>
      <c r="I139" s="10"/>
    </row>
    <row r="140" spans="1:9" ht="12.75" hidden="1" customHeight="1" x14ac:dyDescent="0.2">
      <c r="A140" s="16" t="s">
        <v>946</v>
      </c>
      <c r="B140" s="5" t="s">
        <v>1028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</row>
    <row r="141" spans="1:9" hidden="1" x14ac:dyDescent="0.2">
      <c r="A141" s="16"/>
      <c r="B141" s="6" t="s">
        <v>1024</v>
      </c>
      <c r="C141" s="38">
        <f t="shared" ref="C141:G141" si="35">SUM(C140)</f>
        <v>0</v>
      </c>
      <c r="D141" s="38">
        <f t="shared" si="35"/>
        <v>0</v>
      </c>
      <c r="E141" s="38">
        <f t="shared" si="35"/>
        <v>0</v>
      </c>
      <c r="F141" s="38">
        <f t="shared" si="35"/>
        <v>0</v>
      </c>
      <c r="G141" s="38">
        <f t="shared" si="35"/>
        <v>0</v>
      </c>
      <c r="H141" s="38">
        <f t="shared" ref="H141:I141" si="36">SUM(H140)</f>
        <v>0</v>
      </c>
      <c r="I141" s="38">
        <f t="shared" si="36"/>
        <v>0</v>
      </c>
    </row>
    <row r="142" spans="1:9" ht="12.75" hidden="1" customHeight="1" x14ac:dyDescent="0.2">
      <c r="A142" s="16"/>
      <c r="B142" s="5"/>
      <c r="C142" s="10"/>
      <c r="D142" s="10"/>
      <c r="E142" s="10"/>
      <c r="F142" s="10"/>
      <c r="G142" s="10"/>
      <c r="H142" s="10"/>
      <c r="I142" s="10"/>
    </row>
    <row r="143" spans="1:9" ht="12.75" hidden="1" customHeight="1" x14ac:dyDescent="0.2">
      <c r="A143" s="16" t="s">
        <v>947</v>
      </c>
      <c r="B143" s="4" t="s">
        <v>948</v>
      </c>
      <c r="C143" s="10"/>
      <c r="D143" s="10"/>
      <c r="E143" s="10"/>
      <c r="F143" s="10"/>
      <c r="G143" s="10"/>
      <c r="H143" s="10"/>
      <c r="I143" s="10"/>
    </row>
    <row r="144" spans="1:9" ht="12.75" hidden="1" customHeight="1" x14ac:dyDescent="0.2">
      <c r="A144" s="16" t="s">
        <v>949</v>
      </c>
      <c r="B144" s="5" t="s">
        <v>1028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</row>
    <row r="145" spans="1:9" hidden="1" x14ac:dyDescent="0.2">
      <c r="A145" s="16"/>
      <c r="B145" s="6" t="s">
        <v>1024</v>
      </c>
      <c r="C145" s="38">
        <f t="shared" ref="C145:G145" si="37">SUM(C144)</f>
        <v>0</v>
      </c>
      <c r="D145" s="38">
        <f t="shared" si="37"/>
        <v>0</v>
      </c>
      <c r="E145" s="38">
        <f t="shared" si="37"/>
        <v>0</v>
      </c>
      <c r="F145" s="38">
        <f t="shared" si="37"/>
        <v>0</v>
      </c>
      <c r="G145" s="38">
        <f t="shared" si="37"/>
        <v>0</v>
      </c>
      <c r="H145" s="38">
        <f t="shared" ref="H145:I145" si="38">SUM(H144)</f>
        <v>0</v>
      </c>
      <c r="I145" s="38">
        <f t="shared" si="38"/>
        <v>0</v>
      </c>
    </row>
    <row r="146" spans="1:9" ht="12.75" hidden="1" customHeight="1" x14ac:dyDescent="0.2">
      <c r="A146" s="16"/>
      <c r="B146" s="5"/>
      <c r="C146" s="10"/>
      <c r="D146" s="10"/>
      <c r="E146" s="10"/>
      <c r="F146" s="10"/>
      <c r="G146" s="10"/>
      <c r="H146" s="10"/>
      <c r="I146" s="10"/>
    </row>
    <row r="147" spans="1:9" ht="12.75" hidden="1" customHeight="1" x14ac:dyDescent="0.2">
      <c r="A147" s="16" t="s">
        <v>950</v>
      </c>
      <c r="B147" s="4" t="s">
        <v>312</v>
      </c>
      <c r="C147" s="10"/>
      <c r="D147" s="10"/>
      <c r="E147" s="10"/>
      <c r="F147" s="10"/>
      <c r="G147" s="10"/>
      <c r="H147" s="10"/>
      <c r="I147" s="10"/>
    </row>
    <row r="148" spans="1:9" ht="12.75" hidden="1" customHeight="1" x14ac:dyDescent="0.2">
      <c r="A148" s="16" t="s">
        <v>951</v>
      </c>
      <c r="B148" s="5" t="s">
        <v>1028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</row>
    <row r="149" spans="1:9" hidden="1" x14ac:dyDescent="0.2">
      <c r="A149" s="16"/>
      <c r="B149" s="6" t="s">
        <v>1024</v>
      </c>
      <c r="C149" s="38">
        <f t="shared" ref="C149:G149" si="39">SUM(C148)</f>
        <v>0</v>
      </c>
      <c r="D149" s="38">
        <f t="shared" si="39"/>
        <v>0</v>
      </c>
      <c r="E149" s="38">
        <f t="shared" si="39"/>
        <v>0</v>
      </c>
      <c r="F149" s="38">
        <f t="shared" si="39"/>
        <v>0</v>
      </c>
      <c r="G149" s="38">
        <f t="shared" si="39"/>
        <v>0</v>
      </c>
      <c r="H149" s="38">
        <f t="shared" ref="H149:I149" si="40">SUM(H148)</f>
        <v>0</v>
      </c>
      <c r="I149" s="38">
        <f t="shared" si="40"/>
        <v>0</v>
      </c>
    </row>
    <row r="150" spans="1:9" ht="12.75" hidden="1" customHeight="1" x14ac:dyDescent="0.2">
      <c r="A150" s="16"/>
      <c r="B150" s="5"/>
      <c r="C150" s="10"/>
      <c r="D150" s="10"/>
      <c r="E150" s="10"/>
      <c r="F150" s="10"/>
      <c r="G150" s="10"/>
      <c r="H150" s="10"/>
      <c r="I150" s="10"/>
    </row>
    <row r="151" spans="1:9" ht="12.75" customHeight="1" x14ac:dyDescent="0.2">
      <c r="A151" s="198" t="s">
        <v>1705</v>
      </c>
      <c r="B151" s="4" t="s">
        <v>2199</v>
      </c>
      <c r="C151" s="10"/>
      <c r="D151" s="10"/>
      <c r="E151" s="10"/>
      <c r="F151" s="10"/>
      <c r="G151" s="10"/>
      <c r="H151" s="10"/>
      <c r="I151" s="10"/>
    </row>
    <row r="152" spans="1:9" ht="12.75" customHeight="1" x14ac:dyDescent="0.2">
      <c r="A152" s="16" t="s">
        <v>1706</v>
      </c>
      <c r="B152" s="126" t="s">
        <v>1900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</row>
    <row r="153" spans="1:9" x14ac:dyDescent="0.2">
      <c r="A153" s="16"/>
      <c r="B153" s="6" t="s">
        <v>1024</v>
      </c>
      <c r="C153" s="38">
        <f t="shared" ref="C153:G153" si="41">SUM(C152)</f>
        <v>0</v>
      </c>
      <c r="D153" s="38">
        <f t="shared" si="41"/>
        <v>0</v>
      </c>
      <c r="E153" s="38">
        <f t="shared" si="41"/>
        <v>0</v>
      </c>
      <c r="F153" s="38">
        <f t="shared" si="41"/>
        <v>0</v>
      </c>
      <c r="G153" s="38">
        <f t="shared" si="41"/>
        <v>0</v>
      </c>
      <c r="H153" s="38">
        <f t="shared" ref="H153:I153" si="42">SUM(H152)</f>
        <v>0</v>
      </c>
      <c r="I153" s="38">
        <f t="shared" si="42"/>
        <v>0</v>
      </c>
    </row>
    <row r="154" spans="1:9" ht="12.75" customHeight="1" x14ac:dyDescent="0.2">
      <c r="A154" s="16"/>
      <c r="B154" s="5"/>
      <c r="C154" s="10"/>
      <c r="D154" s="10"/>
      <c r="E154" s="10"/>
      <c r="F154" s="10"/>
      <c r="G154" s="10"/>
      <c r="H154" s="10"/>
      <c r="I154" s="10"/>
    </row>
    <row r="155" spans="1:9" x14ac:dyDescent="0.2">
      <c r="A155" s="198" t="s">
        <v>81</v>
      </c>
      <c r="B155" s="20" t="s">
        <v>2213</v>
      </c>
      <c r="C155" s="10"/>
      <c r="D155" s="10"/>
      <c r="E155" s="10"/>
      <c r="F155" s="10"/>
      <c r="G155" s="10"/>
      <c r="H155" s="10"/>
      <c r="I155" s="10"/>
    </row>
    <row r="156" spans="1:9" x14ac:dyDescent="0.2">
      <c r="A156" s="16" t="s">
        <v>2344</v>
      </c>
      <c r="B156" s="126" t="s">
        <v>2196</v>
      </c>
      <c r="C156" s="12">
        <v>0</v>
      </c>
      <c r="D156" s="12">
        <v>0</v>
      </c>
      <c r="E156" s="12">
        <v>18618.87</v>
      </c>
      <c r="F156" s="12">
        <v>18571.12</v>
      </c>
      <c r="G156" s="12">
        <v>18592.27</v>
      </c>
      <c r="H156" s="12">
        <v>18618.87</v>
      </c>
      <c r="I156" s="12">
        <f>+I15</f>
        <v>18618.87</v>
      </c>
    </row>
    <row r="157" spans="1:9" x14ac:dyDescent="0.2">
      <c r="A157" s="16"/>
      <c r="B157" s="6" t="s">
        <v>1024</v>
      </c>
      <c r="C157" s="38">
        <f t="shared" ref="C157:G157" si="43">SUM(C156)</f>
        <v>0</v>
      </c>
      <c r="D157" s="38">
        <f t="shared" si="43"/>
        <v>0</v>
      </c>
      <c r="E157" s="38">
        <f t="shared" si="43"/>
        <v>18618.87</v>
      </c>
      <c r="F157" s="38">
        <f t="shared" si="43"/>
        <v>18571.12</v>
      </c>
      <c r="G157" s="38">
        <f t="shared" si="43"/>
        <v>18592.27</v>
      </c>
      <c r="H157" s="38">
        <f t="shared" ref="H157:I157" si="44">SUM(H156)</f>
        <v>18618.87</v>
      </c>
      <c r="I157" s="38">
        <f t="shared" si="44"/>
        <v>18618.87</v>
      </c>
    </row>
    <row r="158" spans="1:9" x14ac:dyDescent="0.2">
      <c r="A158" s="16"/>
      <c r="B158" s="6"/>
      <c r="C158" s="10"/>
      <c r="D158" s="10"/>
      <c r="E158" s="10"/>
      <c r="F158" s="10"/>
      <c r="G158" s="10"/>
      <c r="H158" s="10"/>
      <c r="I158" s="10"/>
    </row>
    <row r="159" spans="1:9" hidden="1" x14ac:dyDescent="0.2">
      <c r="A159" s="16"/>
      <c r="B159" s="6"/>
      <c r="C159" s="10"/>
      <c r="D159" s="10"/>
      <c r="E159" s="10"/>
      <c r="F159" s="10"/>
      <c r="G159" s="10"/>
      <c r="H159" s="10"/>
      <c r="I159" s="10"/>
    </row>
    <row r="160" spans="1:9" x14ac:dyDescent="0.2">
      <c r="A160" s="198" t="s">
        <v>1497</v>
      </c>
      <c r="B160" s="4" t="s">
        <v>2194</v>
      </c>
      <c r="C160" s="10"/>
      <c r="D160" s="10"/>
      <c r="E160" s="10"/>
      <c r="F160" s="10"/>
      <c r="G160" s="10"/>
      <c r="H160" s="10"/>
      <c r="I160" s="10"/>
    </row>
    <row r="161" spans="1:9" x14ac:dyDescent="0.2">
      <c r="A161" s="16" t="s">
        <v>1495</v>
      </c>
      <c r="B161" s="126" t="s">
        <v>1983</v>
      </c>
      <c r="C161" s="10">
        <v>0</v>
      </c>
      <c r="D161" s="10">
        <v>0</v>
      </c>
      <c r="E161" s="10">
        <v>0</v>
      </c>
      <c r="F161" s="10">
        <v>0</v>
      </c>
      <c r="G161" s="10">
        <v>17605.93</v>
      </c>
      <c r="H161" s="17">
        <v>9500</v>
      </c>
      <c r="I161" s="17">
        <f t="shared" ref="I161:I162" si="45">+H161</f>
        <v>9500</v>
      </c>
    </row>
    <row r="162" spans="1:9" x14ac:dyDescent="0.2">
      <c r="A162" s="16" t="s">
        <v>1496</v>
      </c>
      <c r="B162" s="126" t="s">
        <v>1895</v>
      </c>
      <c r="C162" s="12">
        <v>0</v>
      </c>
      <c r="D162" s="12">
        <v>0</v>
      </c>
      <c r="E162" s="12">
        <v>0</v>
      </c>
      <c r="F162" s="12">
        <v>0</v>
      </c>
      <c r="G162" s="12">
        <v>304.31</v>
      </c>
      <c r="H162" s="17">
        <v>500</v>
      </c>
      <c r="I162" s="17">
        <f t="shared" si="45"/>
        <v>500</v>
      </c>
    </row>
    <row r="163" spans="1:9" x14ac:dyDescent="0.2">
      <c r="A163" s="16"/>
      <c r="B163" s="6" t="s">
        <v>1024</v>
      </c>
      <c r="C163" s="38">
        <f t="shared" ref="C163:G163" si="46">SUM(C161:C162)</f>
        <v>0</v>
      </c>
      <c r="D163" s="38">
        <f t="shared" si="46"/>
        <v>0</v>
      </c>
      <c r="E163" s="38">
        <f t="shared" si="46"/>
        <v>0</v>
      </c>
      <c r="F163" s="38">
        <f t="shared" si="46"/>
        <v>0</v>
      </c>
      <c r="G163" s="38">
        <f t="shared" si="46"/>
        <v>17910.240000000002</v>
      </c>
      <c r="H163" s="38">
        <f t="shared" ref="H163:I163" si="47">SUM(H161:H162)</f>
        <v>10000</v>
      </c>
      <c r="I163" s="38">
        <f t="shared" si="47"/>
        <v>10000</v>
      </c>
    </row>
    <row r="164" spans="1:9" x14ac:dyDescent="0.2">
      <c r="A164" s="16"/>
      <c r="B164" s="6"/>
      <c r="C164" s="10"/>
      <c r="D164" s="10"/>
      <c r="E164" s="10"/>
      <c r="F164" s="10"/>
      <c r="G164" s="10"/>
      <c r="H164" s="10"/>
      <c r="I164" s="10"/>
    </row>
    <row r="165" spans="1:9" ht="12.75" hidden="1" customHeight="1" x14ac:dyDescent="0.2">
      <c r="A165" s="16" t="s">
        <v>1707</v>
      </c>
      <c r="B165" s="4" t="s">
        <v>1709</v>
      </c>
      <c r="C165" s="10"/>
      <c r="D165" s="10"/>
      <c r="E165" s="10"/>
      <c r="F165" s="10"/>
      <c r="G165" s="10"/>
      <c r="H165" s="10"/>
      <c r="I165" s="10"/>
    </row>
    <row r="166" spans="1:9" ht="12.75" hidden="1" customHeight="1" x14ac:dyDescent="0.2">
      <c r="A166" s="16" t="s">
        <v>1708</v>
      </c>
      <c r="B166" s="5" t="s">
        <v>1028</v>
      </c>
      <c r="C166" s="12">
        <v>0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</row>
    <row r="167" spans="1:9" hidden="1" x14ac:dyDescent="0.2">
      <c r="A167" s="16"/>
      <c r="B167" s="6" t="s">
        <v>1024</v>
      </c>
      <c r="C167" s="38">
        <f t="shared" ref="C167:G167" si="48">SUM(C166)</f>
        <v>0</v>
      </c>
      <c r="D167" s="38">
        <f t="shared" si="48"/>
        <v>0</v>
      </c>
      <c r="E167" s="38">
        <f t="shared" si="48"/>
        <v>0</v>
      </c>
      <c r="F167" s="38">
        <f t="shared" si="48"/>
        <v>0</v>
      </c>
      <c r="G167" s="38">
        <f t="shared" si="48"/>
        <v>0</v>
      </c>
      <c r="H167" s="38">
        <f t="shared" ref="H167:I167" si="49">SUM(H166)</f>
        <v>0</v>
      </c>
      <c r="I167" s="38">
        <f t="shared" si="49"/>
        <v>0</v>
      </c>
    </row>
    <row r="168" spans="1:9" hidden="1" x14ac:dyDescent="0.2">
      <c r="A168" s="16"/>
      <c r="B168" s="6"/>
      <c r="C168" s="10"/>
      <c r="D168" s="10"/>
      <c r="E168" s="10"/>
      <c r="F168" s="10"/>
      <c r="G168" s="10"/>
      <c r="H168" s="10"/>
      <c r="I168" s="10"/>
    </row>
    <row r="169" spans="1:9" ht="12.75" hidden="1" customHeight="1" x14ac:dyDescent="0.2">
      <c r="A169" s="16" t="s">
        <v>1710</v>
      </c>
      <c r="B169" s="4" t="s">
        <v>1712</v>
      </c>
      <c r="C169" s="10"/>
      <c r="D169" s="10"/>
      <c r="E169" s="10"/>
      <c r="F169" s="10"/>
      <c r="G169" s="10"/>
      <c r="H169" s="10"/>
      <c r="I169" s="10"/>
    </row>
    <row r="170" spans="1:9" ht="12.75" hidden="1" customHeight="1" x14ac:dyDescent="0.2">
      <c r="A170" s="16" t="s">
        <v>1711</v>
      </c>
      <c r="B170" s="5" t="s">
        <v>1028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</row>
    <row r="171" spans="1:9" hidden="1" x14ac:dyDescent="0.2">
      <c r="A171" s="16"/>
      <c r="B171" s="6" t="s">
        <v>1024</v>
      </c>
      <c r="C171" s="38">
        <f t="shared" ref="C171:G171" si="50">SUM(C170)</f>
        <v>0</v>
      </c>
      <c r="D171" s="38">
        <f t="shared" si="50"/>
        <v>0</v>
      </c>
      <c r="E171" s="38">
        <f t="shared" si="50"/>
        <v>0</v>
      </c>
      <c r="F171" s="38">
        <f t="shared" si="50"/>
        <v>0</v>
      </c>
      <c r="G171" s="38">
        <f t="shared" si="50"/>
        <v>0</v>
      </c>
      <c r="H171" s="38">
        <f t="shared" ref="H171:I171" si="51">SUM(H170)</f>
        <v>0</v>
      </c>
      <c r="I171" s="38">
        <f t="shared" si="51"/>
        <v>0</v>
      </c>
    </row>
    <row r="172" spans="1:9" hidden="1" x14ac:dyDescent="0.2">
      <c r="A172" s="16"/>
      <c r="B172" s="6"/>
      <c r="C172" s="10"/>
      <c r="D172" s="10"/>
      <c r="E172" s="10"/>
      <c r="F172" s="10"/>
      <c r="G172" s="10"/>
      <c r="H172" s="10"/>
      <c r="I172" s="10"/>
    </row>
    <row r="173" spans="1:9" hidden="1" x14ac:dyDescent="0.2">
      <c r="A173" s="16" t="s">
        <v>205</v>
      </c>
      <c r="B173" s="20" t="s">
        <v>198</v>
      </c>
      <c r="C173" s="10"/>
      <c r="D173" s="10"/>
      <c r="E173" s="10"/>
      <c r="F173" s="10"/>
      <c r="G173" s="10"/>
      <c r="H173" s="10"/>
      <c r="I173" s="10"/>
    </row>
    <row r="174" spans="1:9" hidden="1" x14ac:dyDescent="0.2">
      <c r="A174" s="16" t="s">
        <v>206</v>
      </c>
      <c r="B174" s="21" t="s">
        <v>760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</row>
    <row r="175" spans="1:9" hidden="1" x14ac:dyDescent="0.2">
      <c r="A175" s="16" t="s">
        <v>207</v>
      </c>
      <c r="B175" s="21" t="s">
        <v>1026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</row>
    <row r="176" spans="1:9" hidden="1" x14ac:dyDescent="0.2">
      <c r="A176" s="16" t="s">
        <v>208</v>
      </c>
      <c r="B176" s="21" t="s">
        <v>1027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</row>
    <row r="177" spans="1:9" hidden="1" x14ac:dyDescent="0.2">
      <c r="A177" s="16"/>
      <c r="B177" s="6" t="s">
        <v>1024</v>
      </c>
      <c r="C177" s="38">
        <f t="shared" ref="C177:G177" si="52">SUM(C174:C176)</f>
        <v>0</v>
      </c>
      <c r="D177" s="38">
        <f t="shared" si="52"/>
        <v>0</v>
      </c>
      <c r="E177" s="38">
        <f t="shared" si="52"/>
        <v>0</v>
      </c>
      <c r="F177" s="38">
        <f t="shared" si="52"/>
        <v>0</v>
      </c>
      <c r="G177" s="38">
        <f t="shared" si="52"/>
        <v>0</v>
      </c>
      <c r="H177" s="38">
        <f t="shared" ref="H177:I177" si="53">SUM(H174:H176)</f>
        <v>0</v>
      </c>
      <c r="I177" s="38">
        <f t="shared" si="53"/>
        <v>0</v>
      </c>
    </row>
    <row r="178" spans="1:9" ht="12.75" hidden="1" customHeight="1" x14ac:dyDescent="0.2">
      <c r="A178" s="16"/>
      <c r="B178" s="5"/>
      <c r="C178" s="10"/>
      <c r="D178" s="10"/>
      <c r="E178" s="10"/>
      <c r="F178" s="10"/>
      <c r="G178" s="10"/>
      <c r="H178" s="10"/>
      <c r="I178" s="10"/>
    </row>
    <row r="179" spans="1:9" ht="12.75" customHeight="1" x14ac:dyDescent="0.2">
      <c r="A179" s="198" t="s">
        <v>1804</v>
      </c>
      <c r="B179" s="20" t="s">
        <v>2214</v>
      </c>
      <c r="C179" s="10"/>
      <c r="D179" s="10"/>
      <c r="E179" s="10"/>
      <c r="F179" s="10"/>
      <c r="G179" s="10"/>
      <c r="H179" s="10"/>
      <c r="I179" s="10"/>
    </row>
    <row r="180" spans="1:9" ht="12.75" customHeight="1" x14ac:dyDescent="0.2">
      <c r="A180" s="52" t="s">
        <v>1747</v>
      </c>
      <c r="B180" s="126" t="s">
        <v>1900</v>
      </c>
      <c r="C180" s="12">
        <v>19788.919999999998</v>
      </c>
      <c r="D180" s="12">
        <v>5211.05</v>
      </c>
      <c r="E180" s="12">
        <v>0</v>
      </c>
      <c r="F180" s="12">
        <v>0</v>
      </c>
      <c r="G180" s="12">
        <v>5218</v>
      </c>
      <c r="H180" s="12">
        <v>0</v>
      </c>
      <c r="I180" s="12">
        <v>0</v>
      </c>
    </row>
    <row r="181" spans="1:9" ht="12.75" customHeight="1" x14ac:dyDescent="0.2">
      <c r="A181" s="16"/>
      <c r="B181" s="6" t="s">
        <v>1024</v>
      </c>
      <c r="C181" s="38">
        <f t="shared" ref="C181:G181" si="54">SUM(C180:C180)</f>
        <v>19788.919999999998</v>
      </c>
      <c r="D181" s="38">
        <f t="shared" si="54"/>
        <v>5211.05</v>
      </c>
      <c r="E181" s="38">
        <f t="shared" si="54"/>
        <v>0</v>
      </c>
      <c r="F181" s="38">
        <f t="shared" si="54"/>
        <v>0</v>
      </c>
      <c r="G181" s="38">
        <f t="shared" si="54"/>
        <v>5218</v>
      </c>
      <c r="H181" s="38">
        <f t="shared" ref="H181:I181" si="55">SUM(H180:H180)</f>
        <v>0</v>
      </c>
      <c r="I181" s="38">
        <f t="shared" si="55"/>
        <v>0</v>
      </c>
    </row>
    <row r="182" spans="1:9" ht="12.75" customHeight="1" x14ac:dyDescent="0.2">
      <c r="A182" s="16"/>
      <c r="B182" s="6"/>
      <c r="C182" s="10"/>
      <c r="D182" s="10"/>
      <c r="E182" s="10"/>
      <c r="F182" s="10"/>
      <c r="G182" s="10"/>
      <c r="H182" s="10"/>
      <c r="I182" s="10"/>
    </row>
    <row r="183" spans="1:9" ht="12.75" customHeight="1" x14ac:dyDescent="0.2">
      <c r="A183" s="198" t="s">
        <v>2345</v>
      </c>
      <c r="B183" s="20" t="s">
        <v>2347</v>
      </c>
      <c r="C183" s="10"/>
      <c r="D183" s="10"/>
      <c r="E183" s="10"/>
      <c r="F183" s="10"/>
      <c r="G183" s="10"/>
      <c r="H183" s="10"/>
      <c r="I183" s="10"/>
    </row>
    <row r="184" spans="1:9" ht="12.75" customHeight="1" x14ac:dyDescent="0.2">
      <c r="A184" s="35" t="s">
        <v>2346</v>
      </c>
      <c r="B184" s="126" t="s">
        <v>1900</v>
      </c>
      <c r="C184" s="12">
        <v>0</v>
      </c>
      <c r="D184" s="12">
        <v>0</v>
      </c>
      <c r="E184" s="12">
        <v>20000</v>
      </c>
      <c r="F184" s="12">
        <v>0</v>
      </c>
      <c r="G184" s="12">
        <v>0</v>
      </c>
      <c r="H184" s="12">
        <v>0</v>
      </c>
      <c r="I184" s="12">
        <v>0</v>
      </c>
    </row>
    <row r="185" spans="1:9" ht="12.75" customHeight="1" x14ac:dyDescent="0.2">
      <c r="A185" s="16"/>
      <c r="B185" s="6" t="s">
        <v>1024</v>
      </c>
      <c r="C185" s="38">
        <f t="shared" ref="C185:G185" si="56">SUM(C184:C184)</f>
        <v>0</v>
      </c>
      <c r="D185" s="38">
        <f t="shared" si="56"/>
        <v>0</v>
      </c>
      <c r="E185" s="38">
        <f t="shared" si="56"/>
        <v>20000</v>
      </c>
      <c r="F185" s="38">
        <f t="shared" si="56"/>
        <v>0</v>
      </c>
      <c r="G185" s="38">
        <f t="shared" si="56"/>
        <v>0</v>
      </c>
      <c r="H185" s="38">
        <f t="shared" ref="H185:I185" si="57">SUM(H184:H184)</f>
        <v>0</v>
      </c>
      <c r="I185" s="38">
        <f t="shared" si="57"/>
        <v>0</v>
      </c>
    </row>
    <row r="186" spans="1:9" ht="12.75" customHeight="1" x14ac:dyDescent="0.2">
      <c r="A186" s="16"/>
      <c r="B186" s="6"/>
      <c r="C186" s="10"/>
      <c r="D186" s="10"/>
      <c r="E186" s="10"/>
      <c r="F186" s="10"/>
      <c r="G186" s="10"/>
      <c r="H186" s="10"/>
      <c r="I186" s="10"/>
    </row>
    <row r="187" spans="1:9" hidden="1" x14ac:dyDescent="0.2">
      <c r="A187" s="16" t="s">
        <v>1484</v>
      </c>
      <c r="B187" s="20" t="s">
        <v>2224</v>
      </c>
      <c r="C187" s="10"/>
      <c r="D187" s="10"/>
      <c r="E187" s="10"/>
      <c r="F187" s="10"/>
      <c r="G187" s="10"/>
      <c r="H187" s="10"/>
      <c r="I187" s="10"/>
    </row>
    <row r="188" spans="1:9" hidden="1" x14ac:dyDescent="0.2">
      <c r="A188" s="16" t="s">
        <v>1478</v>
      </c>
      <c r="B188" s="132" t="s">
        <v>1481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</row>
    <row r="189" spans="1:9" hidden="1" x14ac:dyDescent="0.2">
      <c r="A189" s="16" t="s">
        <v>1479</v>
      </c>
      <c r="B189" s="132" t="s">
        <v>1482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</row>
    <row r="190" spans="1:9" hidden="1" x14ac:dyDescent="0.2">
      <c r="A190" s="16" t="s">
        <v>1480</v>
      </c>
      <c r="B190" s="132" t="s">
        <v>1483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</row>
    <row r="191" spans="1:9" hidden="1" x14ac:dyDescent="0.2">
      <c r="A191" s="16"/>
      <c r="B191" s="6" t="s">
        <v>1024</v>
      </c>
      <c r="C191" s="38">
        <f t="shared" ref="C191:G191" si="58">SUM(C188:C190)</f>
        <v>0</v>
      </c>
      <c r="D191" s="38">
        <f t="shared" si="58"/>
        <v>0</v>
      </c>
      <c r="E191" s="38">
        <f t="shared" si="58"/>
        <v>0</v>
      </c>
      <c r="F191" s="38">
        <f t="shared" si="58"/>
        <v>0</v>
      </c>
      <c r="G191" s="38">
        <f t="shared" si="58"/>
        <v>0</v>
      </c>
      <c r="H191" s="38">
        <f t="shared" ref="H191:I191" si="59">SUM(H188:H190)</f>
        <v>0</v>
      </c>
      <c r="I191" s="38">
        <f t="shared" si="59"/>
        <v>0</v>
      </c>
    </row>
    <row r="192" spans="1:9" hidden="1" x14ac:dyDescent="0.2">
      <c r="A192" s="16"/>
      <c r="B192" s="6"/>
      <c r="C192" s="10"/>
      <c r="D192" s="10"/>
      <c r="E192" s="10"/>
      <c r="F192" s="10"/>
      <c r="G192" s="10"/>
      <c r="H192" s="10"/>
      <c r="I192" s="10"/>
    </row>
    <row r="193" spans="1:9" ht="12.75" customHeight="1" x14ac:dyDescent="0.2">
      <c r="A193" s="198" t="s">
        <v>2348</v>
      </c>
      <c r="B193" s="20" t="s">
        <v>2349</v>
      </c>
      <c r="C193" s="10"/>
      <c r="D193" s="10"/>
      <c r="E193" s="10"/>
      <c r="F193" s="10"/>
      <c r="G193" s="10"/>
      <c r="H193" s="10"/>
      <c r="I193" s="10"/>
    </row>
    <row r="194" spans="1:9" ht="12.75" customHeight="1" x14ac:dyDescent="0.2">
      <c r="A194" s="35" t="s">
        <v>2350</v>
      </c>
      <c r="B194" s="126" t="s">
        <v>1900</v>
      </c>
      <c r="C194" s="12">
        <v>0</v>
      </c>
      <c r="D194" s="12">
        <v>0</v>
      </c>
      <c r="E194" s="12">
        <v>15000</v>
      </c>
      <c r="F194" s="12">
        <v>0</v>
      </c>
      <c r="G194" s="12">
        <v>0</v>
      </c>
      <c r="H194" s="12">
        <v>0</v>
      </c>
      <c r="I194" s="12">
        <v>0</v>
      </c>
    </row>
    <row r="195" spans="1:9" ht="12.75" customHeight="1" x14ac:dyDescent="0.2">
      <c r="A195" s="16"/>
      <c r="B195" s="6" t="s">
        <v>1024</v>
      </c>
      <c r="C195" s="38">
        <f t="shared" ref="C195:G195" si="60">SUM(C194:C194)</f>
        <v>0</v>
      </c>
      <c r="D195" s="38">
        <f t="shared" si="60"/>
        <v>0</v>
      </c>
      <c r="E195" s="38">
        <f t="shared" si="60"/>
        <v>15000</v>
      </c>
      <c r="F195" s="38">
        <f t="shared" si="60"/>
        <v>0</v>
      </c>
      <c r="G195" s="38">
        <f t="shared" si="60"/>
        <v>0</v>
      </c>
      <c r="H195" s="38">
        <f t="shared" ref="H195:I195" si="61">SUM(H194:H194)</f>
        <v>0</v>
      </c>
      <c r="I195" s="38">
        <f t="shared" si="61"/>
        <v>0</v>
      </c>
    </row>
    <row r="196" spans="1:9" ht="12.75" customHeight="1" x14ac:dyDescent="0.2">
      <c r="A196" s="16"/>
      <c r="B196" s="6"/>
      <c r="C196" s="10"/>
      <c r="D196" s="10"/>
      <c r="E196" s="10"/>
      <c r="F196" s="10"/>
      <c r="G196" s="10"/>
      <c r="H196" s="10"/>
      <c r="I196" s="10"/>
    </row>
    <row r="197" spans="1:9" ht="12.75" customHeight="1" x14ac:dyDescent="0.2">
      <c r="A197" s="198" t="s">
        <v>2352</v>
      </c>
      <c r="B197" s="20" t="s">
        <v>2351</v>
      </c>
      <c r="C197" s="10"/>
      <c r="D197" s="10"/>
      <c r="E197" s="10"/>
      <c r="F197" s="10"/>
      <c r="G197" s="10"/>
      <c r="H197" s="10"/>
      <c r="I197" s="10"/>
    </row>
    <row r="198" spans="1:9" ht="12.75" customHeight="1" x14ac:dyDescent="0.2">
      <c r="A198" s="35" t="s">
        <v>2353</v>
      </c>
      <c r="B198" s="126" t="s">
        <v>2000</v>
      </c>
      <c r="C198" s="12">
        <v>0</v>
      </c>
      <c r="D198" s="12">
        <v>0</v>
      </c>
      <c r="E198" s="12">
        <v>50000</v>
      </c>
      <c r="F198" s="12">
        <v>0</v>
      </c>
      <c r="G198" s="12">
        <v>0</v>
      </c>
      <c r="H198" s="12">
        <v>0</v>
      </c>
      <c r="I198" s="12">
        <v>0</v>
      </c>
    </row>
    <row r="199" spans="1:9" ht="12.75" customHeight="1" x14ac:dyDescent="0.2">
      <c r="A199" s="16"/>
      <c r="B199" s="6" t="s">
        <v>1024</v>
      </c>
      <c r="C199" s="38">
        <f t="shared" ref="C199:G199" si="62">SUM(C198:C198)</f>
        <v>0</v>
      </c>
      <c r="D199" s="38">
        <f t="shared" si="62"/>
        <v>0</v>
      </c>
      <c r="E199" s="38">
        <f t="shared" si="62"/>
        <v>50000</v>
      </c>
      <c r="F199" s="38">
        <f t="shared" si="62"/>
        <v>0</v>
      </c>
      <c r="G199" s="38">
        <f t="shared" si="62"/>
        <v>0</v>
      </c>
      <c r="H199" s="38">
        <f t="shared" ref="H199:I199" si="63">SUM(H198:H198)</f>
        <v>0</v>
      </c>
      <c r="I199" s="38">
        <f t="shared" si="63"/>
        <v>0</v>
      </c>
    </row>
    <row r="200" spans="1:9" x14ac:dyDescent="0.2">
      <c r="A200" s="16"/>
      <c r="B200" s="6"/>
      <c r="C200" s="10"/>
      <c r="D200" s="10"/>
      <c r="E200" s="10"/>
      <c r="F200" s="10"/>
      <c r="G200" s="10"/>
      <c r="H200" s="10"/>
      <c r="I200" s="10"/>
    </row>
    <row r="201" spans="1:9" x14ac:dyDescent="0.2">
      <c r="A201" s="198" t="s">
        <v>2354</v>
      </c>
      <c r="B201" s="20" t="s">
        <v>2355</v>
      </c>
      <c r="C201" s="10"/>
      <c r="D201" s="10"/>
      <c r="E201" s="10"/>
      <c r="F201" s="10"/>
      <c r="G201" s="10"/>
      <c r="H201" s="10"/>
      <c r="I201" s="10"/>
    </row>
    <row r="202" spans="1:9" x14ac:dyDescent="0.2">
      <c r="A202" s="16" t="s">
        <v>2367</v>
      </c>
      <c r="B202" s="126" t="s">
        <v>2366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</row>
    <row r="203" spans="1:9" x14ac:dyDescent="0.2">
      <c r="A203" s="16" t="s">
        <v>2356</v>
      </c>
      <c r="B203" s="126" t="s">
        <v>2024</v>
      </c>
      <c r="C203" s="10">
        <v>0</v>
      </c>
      <c r="D203" s="10">
        <v>0</v>
      </c>
      <c r="E203" s="10">
        <v>5322.1</v>
      </c>
      <c r="F203" s="10">
        <v>0</v>
      </c>
      <c r="G203" s="10">
        <v>0</v>
      </c>
      <c r="H203" s="10">
        <v>0</v>
      </c>
      <c r="I203" s="10">
        <v>0</v>
      </c>
    </row>
    <row r="204" spans="1:9" x14ac:dyDescent="0.2">
      <c r="A204" s="16" t="s">
        <v>2357</v>
      </c>
      <c r="B204" s="125" t="s">
        <v>1900</v>
      </c>
      <c r="C204" s="10">
        <v>0</v>
      </c>
      <c r="D204" s="10">
        <v>0</v>
      </c>
      <c r="E204" s="10">
        <v>51847.45</v>
      </c>
      <c r="F204" s="10">
        <v>195618.12</v>
      </c>
      <c r="G204" s="10">
        <v>0</v>
      </c>
      <c r="H204" s="10">
        <v>0</v>
      </c>
      <c r="I204" s="10">
        <v>0</v>
      </c>
    </row>
    <row r="205" spans="1:9" x14ac:dyDescent="0.2">
      <c r="A205" s="16" t="s">
        <v>2358</v>
      </c>
      <c r="B205" s="125" t="s">
        <v>2360</v>
      </c>
      <c r="C205" s="10">
        <v>0</v>
      </c>
      <c r="D205" s="10">
        <v>0</v>
      </c>
      <c r="E205" s="10">
        <v>11015</v>
      </c>
      <c r="F205" s="10">
        <v>0</v>
      </c>
      <c r="G205" s="10">
        <v>0</v>
      </c>
      <c r="H205" s="10">
        <v>0</v>
      </c>
      <c r="I205" s="10">
        <v>0</v>
      </c>
    </row>
    <row r="206" spans="1:9" x14ac:dyDescent="0.2">
      <c r="A206" s="16" t="s">
        <v>2359</v>
      </c>
      <c r="B206" s="125" t="s">
        <v>2361</v>
      </c>
      <c r="C206" s="10">
        <v>0</v>
      </c>
      <c r="D206" s="10">
        <v>0</v>
      </c>
      <c r="E206" s="10">
        <v>18640.53</v>
      </c>
      <c r="F206" s="10">
        <v>0</v>
      </c>
      <c r="G206" s="10">
        <v>0</v>
      </c>
      <c r="H206" s="10">
        <v>0</v>
      </c>
      <c r="I206" s="10">
        <v>0</v>
      </c>
    </row>
    <row r="207" spans="1:9" x14ac:dyDescent="0.2">
      <c r="A207" s="16" t="s">
        <v>2362</v>
      </c>
      <c r="B207" s="126" t="s">
        <v>2363</v>
      </c>
      <c r="C207" s="10">
        <v>0</v>
      </c>
      <c r="D207" s="10">
        <v>0</v>
      </c>
      <c r="E207" s="10">
        <v>8294</v>
      </c>
      <c r="F207" s="10">
        <v>0</v>
      </c>
      <c r="G207" s="10">
        <v>0</v>
      </c>
      <c r="H207" s="10">
        <v>0</v>
      </c>
      <c r="I207" s="10">
        <v>0</v>
      </c>
    </row>
    <row r="208" spans="1:9" x14ac:dyDescent="0.2">
      <c r="A208" s="35" t="s">
        <v>2446</v>
      </c>
      <c r="B208" s="126" t="s">
        <v>2364</v>
      </c>
      <c r="C208" s="10">
        <v>0</v>
      </c>
      <c r="D208" s="10">
        <v>0</v>
      </c>
      <c r="E208" s="10">
        <v>21416.25</v>
      </c>
      <c r="F208" s="10">
        <v>73000</v>
      </c>
      <c r="G208" s="10">
        <v>0</v>
      </c>
      <c r="H208" s="10">
        <v>0</v>
      </c>
      <c r="I208" s="10">
        <v>0</v>
      </c>
    </row>
    <row r="209" spans="1:9" x14ac:dyDescent="0.2">
      <c r="A209" s="16" t="s">
        <v>2368</v>
      </c>
      <c r="B209" s="126" t="s">
        <v>2365</v>
      </c>
      <c r="C209" s="12">
        <v>0</v>
      </c>
      <c r="D209" s="12">
        <v>0</v>
      </c>
      <c r="E209" s="12">
        <v>36376.15</v>
      </c>
      <c r="F209" s="12">
        <v>0</v>
      </c>
      <c r="G209" s="12">
        <v>0</v>
      </c>
      <c r="H209" s="12">
        <v>0</v>
      </c>
      <c r="I209" s="12">
        <v>0</v>
      </c>
    </row>
    <row r="210" spans="1:9" x14ac:dyDescent="0.2">
      <c r="A210" s="16"/>
      <c r="B210" s="6" t="s">
        <v>1024</v>
      </c>
      <c r="C210" s="38">
        <f t="shared" ref="C210:G210" si="64">SUM(C202:C209)</f>
        <v>0</v>
      </c>
      <c r="D210" s="38">
        <f t="shared" si="64"/>
        <v>0</v>
      </c>
      <c r="E210" s="38">
        <f t="shared" si="64"/>
        <v>152911.47999999998</v>
      </c>
      <c r="F210" s="38">
        <f t="shared" si="64"/>
        <v>268618.12</v>
      </c>
      <c r="G210" s="38">
        <f t="shared" si="64"/>
        <v>0</v>
      </c>
      <c r="H210" s="38">
        <f t="shared" ref="H210:I210" si="65">SUM(H202:H209)</f>
        <v>0</v>
      </c>
      <c r="I210" s="38">
        <f t="shared" si="65"/>
        <v>0</v>
      </c>
    </row>
    <row r="211" spans="1:9" ht="12.75" customHeight="1" x14ac:dyDescent="0.2">
      <c r="A211" s="16"/>
      <c r="B211" s="6"/>
      <c r="C211" s="10"/>
      <c r="D211" s="10"/>
      <c r="E211" s="10"/>
      <c r="F211" s="10"/>
      <c r="G211" s="10"/>
      <c r="H211" s="10"/>
      <c r="I211" s="10"/>
    </row>
    <row r="212" spans="1:9" ht="12.75" customHeight="1" x14ac:dyDescent="0.2">
      <c r="A212" s="198" t="s">
        <v>2447</v>
      </c>
      <c r="B212" s="20" t="s">
        <v>2448</v>
      </c>
      <c r="C212" s="10"/>
      <c r="D212" s="10"/>
      <c r="E212" s="10"/>
      <c r="F212" s="10"/>
      <c r="G212" s="10"/>
      <c r="H212" s="10"/>
      <c r="I212" s="10"/>
    </row>
    <row r="213" spans="1:9" ht="12.75" customHeight="1" x14ac:dyDescent="0.2">
      <c r="A213" s="35" t="s">
        <v>2449</v>
      </c>
      <c r="B213" s="125" t="s">
        <v>1900</v>
      </c>
      <c r="C213" s="12">
        <v>0</v>
      </c>
      <c r="D213" s="12">
        <v>0</v>
      </c>
      <c r="E213" s="12">
        <v>0</v>
      </c>
      <c r="F213" s="12">
        <v>251638.25</v>
      </c>
      <c r="G213" s="12">
        <v>0</v>
      </c>
      <c r="H213" s="12">
        <v>0</v>
      </c>
      <c r="I213" s="12">
        <v>0</v>
      </c>
    </row>
    <row r="214" spans="1:9" ht="12.75" customHeight="1" x14ac:dyDescent="0.2">
      <c r="A214" s="16"/>
      <c r="B214" s="6" t="s">
        <v>1024</v>
      </c>
      <c r="C214" s="38">
        <f t="shared" ref="C214:H214" si="66">SUM(C213:C213)</f>
        <v>0</v>
      </c>
      <c r="D214" s="38">
        <f t="shared" si="66"/>
        <v>0</v>
      </c>
      <c r="E214" s="38">
        <f t="shared" si="66"/>
        <v>0</v>
      </c>
      <c r="F214" s="38">
        <f t="shared" si="66"/>
        <v>251638.25</v>
      </c>
      <c r="G214" s="38">
        <f t="shared" si="66"/>
        <v>0</v>
      </c>
      <c r="H214" s="38">
        <f t="shared" si="66"/>
        <v>0</v>
      </c>
      <c r="I214" s="38">
        <f t="shared" ref="I214" si="67">SUM(I213:I213)</f>
        <v>0</v>
      </c>
    </row>
    <row r="215" spans="1:9" x14ac:dyDescent="0.2">
      <c r="A215" s="16"/>
      <c r="B215" s="6"/>
      <c r="C215" s="10"/>
      <c r="D215" s="10"/>
      <c r="E215" s="10"/>
      <c r="F215" s="10"/>
      <c r="G215" s="10"/>
      <c r="H215" s="10"/>
      <c r="I215" s="10"/>
    </row>
    <row r="216" spans="1:9" ht="12" customHeight="1" x14ac:dyDescent="0.2">
      <c r="A216" s="198" t="s">
        <v>2450</v>
      </c>
      <c r="B216" s="20" t="s">
        <v>2452</v>
      </c>
      <c r="C216" s="10"/>
      <c r="D216" s="10"/>
      <c r="E216" s="10"/>
      <c r="F216" s="10"/>
      <c r="G216" s="10"/>
      <c r="H216" s="10"/>
      <c r="I216" s="10"/>
    </row>
    <row r="217" spans="1:9" x14ac:dyDescent="0.2">
      <c r="A217" s="35" t="s">
        <v>2451</v>
      </c>
      <c r="B217" s="125" t="s">
        <v>1900</v>
      </c>
      <c r="C217" s="10">
        <v>0</v>
      </c>
      <c r="D217" s="10">
        <v>0</v>
      </c>
      <c r="E217" s="10">
        <v>0</v>
      </c>
      <c r="F217" s="10">
        <v>35499.919999999998</v>
      </c>
      <c r="G217" s="10">
        <v>0</v>
      </c>
      <c r="H217" s="10">
        <v>0</v>
      </c>
      <c r="I217" s="10">
        <v>0</v>
      </c>
    </row>
    <row r="218" spans="1:9" x14ac:dyDescent="0.2">
      <c r="A218" s="16"/>
      <c r="B218" s="6" t="s">
        <v>1024</v>
      </c>
      <c r="C218" s="38">
        <f t="shared" ref="C218:H218" si="68">SUM(C217:C217)</f>
        <v>0</v>
      </c>
      <c r="D218" s="38">
        <f t="shared" si="68"/>
        <v>0</v>
      </c>
      <c r="E218" s="38">
        <f t="shared" si="68"/>
        <v>0</v>
      </c>
      <c r="F218" s="38">
        <f t="shared" si="68"/>
        <v>35499.919999999998</v>
      </c>
      <c r="G218" s="38">
        <f t="shared" si="68"/>
        <v>0</v>
      </c>
      <c r="H218" s="38">
        <f t="shared" si="68"/>
        <v>0</v>
      </c>
      <c r="I218" s="38">
        <f t="shared" ref="I218" si="69">SUM(I217:I217)</f>
        <v>0</v>
      </c>
    </row>
    <row r="219" spans="1:9" x14ac:dyDescent="0.2">
      <c r="A219" s="16"/>
      <c r="B219" s="6"/>
      <c r="C219" s="10"/>
      <c r="D219" s="10"/>
      <c r="E219" s="10"/>
      <c r="F219" s="10"/>
      <c r="G219" s="10"/>
      <c r="H219" s="10"/>
      <c r="I219" s="10"/>
    </row>
    <row r="220" spans="1:9" ht="12" customHeight="1" x14ac:dyDescent="0.2">
      <c r="A220" s="198" t="s">
        <v>2394</v>
      </c>
      <c r="B220" s="20" t="s">
        <v>2395</v>
      </c>
      <c r="C220" s="10"/>
      <c r="D220" s="10"/>
      <c r="E220" s="10"/>
      <c r="F220" s="10"/>
      <c r="G220" s="10"/>
      <c r="H220" s="10"/>
      <c r="I220" s="10"/>
    </row>
    <row r="221" spans="1:9" x14ac:dyDescent="0.2">
      <c r="A221" s="35" t="s">
        <v>2453</v>
      </c>
      <c r="B221" s="126" t="s">
        <v>2024</v>
      </c>
      <c r="C221" s="10">
        <v>0</v>
      </c>
      <c r="D221" s="10">
        <v>0</v>
      </c>
      <c r="E221" s="10">
        <v>0</v>
      </c>
      <c r="F221" s="10">
        <v>0</v>
      </c>
      <c r="G221" s="10">
        <v>979.09</v>
      </c>
      <c r="H221" s="10">
        <v>0</v>
      </c>
      <c r="I221" s="10">
        <v>0</v>
      </c>
    </row>
    <row r="222" spans="1:9" x14ac:dyDescent="0.2">
      <c r="A222" s="35" t="s">
        <v>2454</v>
      </c>
      <c r="B222" s="125" t="s">
        <v>1900</v>
      </c>
      <c r="C222" s="10">
        <v>0</v>
      </c>
      <c r="D222" s="10">
        <v>0</v>
      </c>
      <c r="E222" s="10">
        <v>0</v>
      </c>
      <c r="F222" s="10">
        <v>0</v>
      </c>
      <c r="G222" s="10">
        <v>8376.1200000000008</v>
      </c>
      <c r="H222" s="10">
        <v>0</v>
      </c>
      <c r="I222" s="10">
        <v>0</v>
      </c>
    </row>
    <row r="223" spans="1:9" x14ac:dyDescent="0.2">
      <c r="A223" s="16"/>
      <c r="B223" s="6" t="s">
        <v>1024</v>
      </c>
      <c r="C223" s="38">
        <f>SUM(C221:C222)</f>
        <v>0</v>
      </c>
      <c r="D223" s="38">
        <f t="shared" ref="D223:H223" si="70">SUM(D221:D222)</f>
        <v>0</v>
      </c>
      <c r="E223" s="38">
        <f t="shared" si="70"/>
        <v>0</v>
      </c>
      <c r="F223" s="38">
        <f t="shared" si="70"/>
        <v>0</v>
      </c>
      <c r="G223" s="38">
        <f t="shared" si="70"/>
        <v>9355.2100000000009</v>
      </c>
      <c r="H223" s="38">
        <f t="shared" si="70"/>
        <v>0</v>
      </c>
      <c r="I223" s="38">
        <f t="shared" ref="I223" si="71">SUM(I221:I222)</f>
        <v>0</v>
      </c>
    </row>
    <row r="224" spans="1:9" x14ac:dyDescent="0.2">
      <c r="A224" s="16"/>
      <c r="B224" s="6"/>
      <c r="C224" s="10"/>
      <c r="D224" s="10"/>
      <c r="E224" s="10"/>
      <c r="F224" s="10"/>
      <c r="G224" s="10"/>
      <c r="H224" s="10"/>
      <c r="I224" s="10"/>
    </row>
    <row r="225" spans="1:9" ht="12" customHeight="1" x14ac:dyDescent="0.2">
      <c r="A225" s="198" t="s">
        <v>2562</v>
      </c>
      <c r="B225" s="20" t="s">
        <v>2564</v>
      </c>
      <c r="C225" s="10"/>
      <c r="D225" s="10"/>
      <c r="E225" s="10"/>
      <c r="F225" s="10"/>
      <c r="G225" s="10"/>
      <c r="H225" s="10"/>
      <c r="I225" s="10"/>
    </row>
    <row r="226" spans="1:9" x14ac:dyDescent="0.2">
      <c r="A226" s="35" t="s">
        <v>2563</v>
      </c>
      <c r="B226" s="125" t="s">
        <v>1900</v>
      </c>
      <c r="C226" s="10">
        <v>0</v>
      </c>
      <c r="D226" s="10">
        <v>0</v>
      </c>
      <c r="E226" s="10">
        <v>0</v>
      </c>
      <c r="F226" s="10">
        <v>0</v>
      </c>
      <c r="G226" s="10">
        <v>25000</v>
      </c>
      <c r="H226" s="10">
        <v>0</v>
      </c>
      <c r="I226" s="10">
        <v>0</v>
      </c>
    </row>
    <row r="227" spans="1:9" x14ac:dyDescent="0.2">
      <c r="A227" s="16"/>
      <c r="B227" s="6" t="s">
        <v>1024</v>
      </c>
      <c r="C227" s="38">
        <f t="shared" ref="C227:I227" si="72">SUM(C226:C226)</f>
        <v>0</v>
      </c>
      <c r="D227" s="38">
        <f t="shared" si="72"/>
        <v>0</v>
      </c>
      <c r="E227" s="38">
        <f t="shared" si="72"/>
        <v>0</v>
      </c>
      <c r="F227" s="38">
        <f t="shared" si="72"/>
        <v>0</v>
      </c>
      <c r="G227" s="38">
        <f t="shared" si="72"/>
        <v>25000</v>
      </c>
      <c r="H227" s="38">
        <f t="shared" si="72"/>
        <v>0</v>
      </c>
      <c r="I227" s="38">
        <f t="shared" si="72"/>
        <v>0</v>
      </c>
    </row>
    <row r="228" spans="1:9" x14ac:dyDescent="0.2">
      <c r="A228" s="16"/>
      <c r="B228" s="6"/>
      <c r="C228" s="10"/>
      <c r="D228" s="10"/>
      <c r="E228" s="10"/>
      <c r="F228" s="10"/>
      <c r="G228" s="10"/>
      <c r="H228" s="10"/>
      <c r="I228" s="10"/>
    </row>
    <row r="229" spans="1:9" ht="12" customHeight="1" x14ac:dyDescent="0.2">
      <c r="A229" s="198" t="s">
        <v>2558</v>
      </c>
      <c r="B229" s="20" t="s">
        <v>2561</v>
      </c>
      <c r="C229" s="10"/>
      <c r="D229" s="10"/>
      <c r="E229" s="10"/>
      <c r="F229" s="10"/>
      <c r="G229" s="10"/>
      <c r="H229" s="10"/>
      <c r="I229" s="10"/>
    </row>
    <row r="230" spans="1:9" x14ac:dyDescent="0.2">
      <c r="A230" s="35" t="s">
        <v>2559</v>
      </c>
      <c r="B230" s="126" t="s">
        <v>2024</v>
      </c>
      <c r="C230" s="10">
        <v>0</v>
      </c>
      <c r="D230" s="10">
        <v>0</v>
      </c>
      <c r="E230" s="10">
        <v>0</v>
      </c>
      <c r="F230" s="10">
        <v>0</v>
      </c>
      <c r="G230" s="10">
        <v>14348.58</v>
      </c>
      <c r="H230" s="10">
        <v>0</v>
      </c>
      <c r="I230" s="10">
        <v>0</v>
      </c>
    </row>
    <row r="231" spans="1:9" x14ac:dyDescent="0.2">
      <c r="A231" s="35" t="s">
        <v>2560</v>
      </c>
      <c r="B231" s="125" t="s">
        <v>1900</v>
      </c>
      <c r="C231" s="10">
        <v>0</v>
      </c>
      <c r="D231" s="10">
        <v>0</v>
      </c>
      <c r="E231" s="10">
        <v>0</v>
      </c>
      <c r="F231" s="10">
        <v>0</v>
      </c>
      <c r="G231" s="10">
        <v>6578.86</v>
      </c>
      <c r="H231" s="10">
        <v>0</v>
      </c>
      <c r="I231" s="10">
        <v>0</v>
      </c>
    </row>
    <row r="232" spans="1:9" x14ac:dyDescent="0.2">
      <c r="A232" s="16"/>
      <c r="B232" s="6" t="s">
        <v>1024</v>
      </c>
      <c r="C232" s="38">
        <f>SUM(C230:C231)</f>
        <v>0</v>
      </c>
      <c r="D232" s="38">
        <f t="shared" ref="D232:I232" si="73">SUM(D230:D231)</f>
        <v>0</v>
      </c>
      <c r="E232" s="38">
        <f t="shared" si="73"/>
        <v>0</v>
      </c>
      <c r="F232" s="38">
        <f t="shared" si="73"/>
        <v>0</v>
      </c>
      <c r="G232" s="38">
        <f t="shared" si="73"/>
        <v>20927.439999999999</v>
      </c>
      <c r="H232" s="38">
        <f t="shared" si="73"/>
        <v>0</v>
      </c>
      <c r="I232" s="38">
        <f t="shared" si="73"/>
        <v>0</v>
      </c>
    </row>
    <row r="233" spans="1:9" x14ac:dyDescent="0.2">
      <c r="A233" s="16"/>
      <c r="B233" s="6"/>
      <c r="C233" s="10"/>
      <c r="D233" s="10"/>
      <c r="E233" s="10"/>
      <c r="F233" s="10"/>
      <c r="G233" s="10"/>
      <c r="H233" s="10"/>
      <c r="I233" s="10"/>
    </row>
    <row r="234" spans="1:9" ht="12" hidden="1" customHeight="1" x14ac:dyDescent="0.2">
      <c r="A234" s="198" t="s">
        <v>1485</v>
      </c>
      <c r="B234" s="20" t="s">
        <v>514</v>
      </c>
      <c r="C234" s="10"/>
      <c r="D234" s="10"/>
      <c r="E234" s="10"/>
      <c r="F234" s="10"/>
      <c r="G234" s="10"/>
      <c r="H234" s="10"/>
      <c r="I234" s="10"/>
    </row>
    <row r="235" spans="1:9" hidden="1" x14ac:dyDescent="0.2">
      <c r="A235" s="16" t="s">
        <v>1486</v>
      </c>
      <c r="B235" s="132" t="s">
        <v>1481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</row>
    <row r="236" spans="1:9" hidden="1" x14ac:dyDescent="0.2">
      <c r="A236" s="16" t="s">
        <v>1487</v>
      </c>
      <c r="B236" s="132" t="s">
        <v>1482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</row>
    <row r="237" spans="1:9" hidden="1" x14ac:dyDescent="0.2">
      <c r="A237" s="16" t="s">
        <v>1488</v>
      </c>
      <c r="B237" s="132" t="s">
        <v>1483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</row>
    <row r="238" spans="1:9" hidden="1" x14ac:dyDescent="0.2">
      <c r="A238" s="16"/>
      <c r="B238" s="6" t="s">
        <v>1024</v>
      </c>
      <c r="C238" s="38">
        <f t="shared" ref="C238:G238" si="74">SUM(C235:C237)</f>
        <v>0</v>
      </c>
      <c r="D238" s="38">
        <f t="shared" si="74"/>
        <v>0</v>
      </c>
      <c r="E238" s="38">
        <f t="shared" si="74"/>
        <v>0</v>
      </c>
      <c r="F238" s="38">
        <f t="shared" si="74"/>
        <v>0</v>
      </c>
      <c r="G238" s="38">
        <f t="shared" si="74"/>
        <v>0</v>
      </c>
      <c r="H238" s="38">
        <f t="shared" ref="H238:I238" si="75">SUM(H235:H237)</f>
        <v>0</v>
      </c>
      <c r="I238" s="38">
        <f t="shared" si="75"/>
        <v>0</v>
      </c>
    </row>
    <row r="239" spans="1:9" hidden="1" x14ac:dyDescent="0.2">
      <c r="A239" s="16"/>
      <c r="B239" s="6"/>
      <c r="C239" s="10"/>
      <c r="D239" s="10"/>
      <c r="E239" s="10"/>
      <c r="F239" s="10"/>
      <c r="G239" s="10"/>
      <c r="H239" s="10"/>
      <c r="I239" s="10"/>
    </row>
    <row r="240" spans="1:9" hidden="1" x14ac:dyDescent="0.2">
      <c r="A240" s="198" t="s">
        <v>1489</v>
      </c>
      <c r="B240" s="20" t="s">
        <v>91</v>
      </c>
      <c r="C240" s="10"/>
      <c r="D240" s="10"/>
      <c r="E240" s="10"/>
      <c r="F240" s="10"/>
      <c r="G240" s="10"/>
      <c r="H240" s="10"/>
      <c r="I240" s="10"/>
    </row>
    <row r="241" spans="1:9" hidden="1" x14ac:dyDescent="0.2">
      <c r="A241" s="16" t="s">
        <v>1380</v>
      </c>
      <c r="B241" s="132" t="s">
        <v>1481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</row>
    <row r="242" spans="1:9" hidden="1" x14ac:dyDescent="0.2">
      <c r="A242" s="16" t="s">
        <v>1381</v>
      </c>
      <c r="B242" s="132" t="s">
        <v>1482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</row>
    <row r="243" spans="1:9" hidden="1" x14ac:dyDescent="0.2">
      <c r="A243" s="16" t="s">
        <v>1382</v>
      </c>
      <c r="B243" s="132" t="s">
        <v>1483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</row>
    <row r="244" spans="1:9" hidden="1" x14ac:dyDescent="0.2">
      <c r="A244" s="16"/>
      <c r="B244" s="6" t="s">
        <v>1024</v>
      </c>
      <c r="C244" s="38">
        <f t="shared" ref="C244:G244" si="76">SUM(C241:C243)</f>
        <v>0</v>
      </c>
      <c r="D244" s="38">
        <f t="shared" si="76"/>
        <v>0</v>
      </c>
      <c r="E244" s="38">
        <f t="shared" si="76"/>
        <v>0</v>
      </c>
      <c r="F244" s="38">
        <f t="shared" si="76"/>
        <v>0</v>
      </c>
      <c r="G244" s="38">
        <f t="shared" si="76"/>
        <v>0</v>
      </c>
      <c r="H244" s="38">
        <f t="shared" ref="H244:I244" si="77">SUM(H241:H243)</f>
        <v>0</v>
      </c>
      <c r="I244" s="38">
        <f t="shared" si="77"/>
        <v>0</v>
      </c>
    </row>
    <row r="245" spans="1:9" hidden="1" x14ac:dyDescent="0.2">
      <c r="A245" s="16"/>
      <c r="B245" s="6"/>
      <c r="C245" s="10"/>
      <c r="D245" s="10"/>
      <c r="E245" s="10"/>
      <c r="F245" s="10"/>
      <c r="G245" s="10"/>
      <c r="H245" s="10"/>
      <c r="I245" s="10"/>
    </row>
    <row r="246" spans="1:9" hidden="1" x14ac:dyDescent="0.2">
      <c r="A246" s="198" t="s">
        <v>1617</v>
      </c>
      <c r="B246" s="20" t="s">
        <v>1621</v>
      </c>
      <c r="C246" s="10"/>
      <c r="D246" s="10"/>
      <c r="E246" s="10"/>
      <c r="F246" s="10"/>
      <c r="G246" s="10"/>
      <c r="H246" s="10"/>
      <c r="I246" s="10"/>
    </row>
    <row r="247" spans="1:9" hidden="1" x14ac:dyDescent="0.2">
      <c r="A247" s="16" t="s">
        <v>1618</v>
      </c>
      <c r="B247" s="132" t="s">
        <v>1481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</row>
    <row r="248" spans="1:9" hidden="1" x14ac:dyDescent="0.2">
      <c r="A248" s="16" t="s">
        <v>1619</v>
      </c>
      <c r="B248" s="132" t="s">
        <v>1482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</row>
    <row r="249" spans="1:9" hidden="1" x14ac:dyDescent="0.2">
      <c r="A249" s="16" t="s">
        <v>1620</v>
      </c>
      <c r="B249" s="132" t="s">
        <v>1483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</row>
    <row r="250" spans="1:9" hidden="1" x14ac:dyDescent="0.2">
      <c r="A250" s="16"/>
      <c r="B250" s="6" t="s">
        <v>1024</v>
      </c>
      <c r="C250" s="38">
        <f t="shared" ref="C250:G250" si="78">SUM(C247:C249)</f>
        <v>0</v>
      </c>
      <c r="D250" s="38">
        <f t="shared" si="78"/>
        <v>0</v>
      </c>
      <c r="E250" s="38">
        <f t="shared" si="78"/>
        <v>0</v>
      </c>
      <c r="F250" s="38">
        <f t="shared" si="78"/>
        <v>0</v>
      </c>
      <c r="G250" s="38">
        <f t="shared" si="78"/>
        <v>0</v>
      </c>
      <c r="H250" s="38">
        <f t="shared" ref="H250:I250" si="79">SUM(H247:H249)</f>
        <v>0</v>
      </c>
      <c r="I250" s="38">
        <f t="shared" si="79"/>
        <v>0</v>
      </c>
    </row>
    <row r="251" spans="1:9" hidden="1" x14ac:dyDescent="0.2">
      <c r="A251" s="16"/>
      <c r="B251" s="6"/>
      <c r="C251" s="10"/>
      <c r="D251" s="10"/>
      <c r="E251" s="10"/>
      <c r="F251" s="10"/>
      <c r="G251" s="10"/>
      <c r="H251" s="10"/>
      <c r="I251" s="10"/>
    </row>
    <row r="252" spans="1:9" hidden="1" x14ac:dyDescent="0.2">
      <c r="A252" s="198" t="s">
        <v>1383</v>
      </c>
      <c r="B252" s="20" t="s">
        <v>1384</v>
      </c>
      <c r="C252" s="10"/>
      <c r="D252" s="10"/>
      <c r="E252" s="10"/>
      <c r="F252" s="10"/>
      <c r="G252" s="10"/>
      <c r="H252" s="10"/>
      <c r="I252" s="10"/>
    </row>
    <row r="253" spans="1:9" hidden="1" x14ac:dyDescent="0.2">
      <c r="A253" s="16" t="s">
        <v>1385</v>
      </c>
      <c r="B253" s="132" t="s">
        <v>1481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</row>
    <row r="254" spans="1:9" hidden="1" x14ac:dyDescent="0.2">
      <c r="A254" s="16" t="s">
        <v>1386</v>
      </c>
      <c r="B254" s="132" t="s">
        <v>1482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</row>
    <row r="255" spans="1:9" hidden="1" x14ac:dyDescent="0.2">
      <c r="A255" s="16" t="s">
        <v>1387</v>
      </c>
      <c r="B255" s="132" t="s">
        <v>1483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</row>
    <row r="256" spans="1:9" hidden="1" x14ac:dyDescent="0.2">
      <c r="A256" s="16"/>
      <c r="B256" s="6" t="s">
        <v>1024</v>
      </c>
      <c r="C256" s="38">
        <f t="shared" ref="C256:G256" si="80">SUM(C253:C255)</f>
        <v>0</v>
      </c>
      <c r="D256" s="38">
        <f t="shared" si="80"/>
        <v>0</v>
      </c>
      <c r="E256" s="38">
        <f t="shared" si="80"/>
        <v>0</v>
      </c>
      <c r="F256" s="38">
        <f t="shared" si="80"/>
        <v>0</v>
      </c>
      <c r="G256" s="38">
        <f t="shared" si="80"/>
        <v>0</v>
      </c>
      <c r="H256" s="38">
        <f t="shared" ref="H256:I256" si="81">SUM(H253:H255)</f>
        <v>0</v>
      </c>
      <c r="I256" s="38">
        <f t="shared" si="81"/>
        <v>0</v>
      </c>
    </row>
    <row r="257" spans="1:9" hidden="1" x14ac:dyDescent="0.2">
      <c r="A257" s="16"/>
      <c r="B257" s="6"/>
      <c r="C257" s="10"/>
      <c r="D257" s="10"/>
      <c r="E257" s="10"/>
      <c r="F257" s="10"/>
      <c r="G257" s="10"/>
      <c r="H257" s="10"/>
      <c r="I257" s="10"/>
    </row>
    <row r="258" spans="1:9" x14ac:dyDescent="0.2">
      <c r="A258" s="198" t="s">
        <v>38</v>
      </c>
      <c r="B258" s="4" t="s">
        <v>2202</v>
      </c>
      <c r="C258" s="10" t="s">
        <v>1433</v>
      </c>
      <c r="D258" s="10" t="s">
        <v>1433</v>
      </c>
      <c r="E258" s="10" t="s">
        <v>1433</v>
      </c>
      <c r="F258" s="10" t="s">
        <v>1433</v>
      </c>
      <c r="G258" s="10" t="s">
        <v>1433</v>
      </c>
      <c r="H258" s="10" t="s">
        <v>1433</v>
      </c>
      <c r="I258" s="10" t="s">
        <v>1433</v>
      </c>
    </row>
    <row r="259" spans="1:9" x14ac:dyDescent="0.2">
      <c r="A259" s="16" t="s">
        <v>39</v>
      </c>
      <c r="B259" s="132" t="s">
        <v>1481</v>
      </c>
      <c r="C259" s="10">
        <v>3000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</row>
    <row r="260" spans="1:9" x14ac:dyDescent="0.2">
      <c r="A260" s="16" t="s">
        <v>40</v>
      </c>
      <c r="B260" s="132" t="s">
        <v>1482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</row>
    <row r="261" spans="1:9" x14ac:dyDescent="0.2">
      <c r="A261" s="16" t="s">
        <v>41</v>
      </c>
      <c r="B261" s="132" t="s">
        <v>1483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</row>
    <row r="262" spans="1:9" x14ac:dyDescent="0.2">
      <c r="A262" s="16"/>
      <c r="B262" s="6" t="s">
        <v>1024</v>
      </c>
      <c r="C262" s="38">
        <f t="shared" ref="C262:G262" si="82">SUM(C259:C261)</f>
        <v>3000</v>
      </c>
      <c r="D262" s="38">
        <f t="shared" si="82"/>
        <v>0</v>
      </c>
      <c r="E262" s="38">
        <f t="shared" si="82"/>
        <v>0</v>
      </c>
      <c r="F262" s="38">
        <f t="shared" si="82"/>
        <v>0</v>
      </c>
      <c r="G262" s="38">
        <f t="shared" si="82"/>
        <v>0</v>
      </c>
      <c r="H262" s="38">
        <f t="shared" ref="H262:I262" si="83">SUM(H259:H261)</f>
        <v>0</v>
      </c>
      <c r="I262" s="38">
        <f t="shared" si="83"/>
        <v>0</v>
      </c>
    </row>
    <row r="263" spans="1:9" x14ac:dyDescent="0.2">
      <c r="A263" s="16"/>
      <c r="B263" s="6"/>
      <c r="C263" s="10"/>
      <c r="D263" s="10"/>
      <c r="E263" s="10"/>
      <c r="F263" s="10"/>
      <c r="G263" s="10"/>
      <c r="H263" s="10"/>
      <c r="I263" s="10"/>
    </row>
    <row r="264" spans="1:9" x14ac:dyDescent="0.2">
      <c r="A264" s="198" t="s">
        <v>1592</v>
      </c>
      <c r="B264" s="4" t="s">
        <v>2215</v>
      </c>
      <c r="C264" s="10" t="s">
        <v>1433</v>
      </c>
      <c r="D264" s="10" t="s">
        <v>1433</v>
      </c>
      <c r="E264" s="10" t="s">
        <v>1433</v>
      </c>
      <c r="F264" s="10" t="s">
        <v>1433</v>
      </c>
      <c r="G264" s="10" t="s">
        <v>1433</v>
      </c>
      <c r="H264" s="10" t="s">
        <v>1433</v>
      </c>
      <c r="I264" s="10" t="s">
        <v>1433</v>
      </c>
    </row>
    <row r="265" spans="1:9" x14ac:dyDescent="0.2">
      <c r="A265" s="16" t="s">
        <v>1122</v>
      </c>
      <c r="B265" s="132" t="s">
        <v>1481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</row>
    <row r="266" spans="1:9" x14ac:dyDescent="0.2">
      <c r="A266" s="16" t="s">
        <v>1123</v>
      </c>
      <c r="B266" s="132" t="s">
        <v>1482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</row>
    <row r="267" spans="1:9" x14ac:dyDescent="0.2">
      <c r="A267" s="16" t="s">
        <v>1124</v>
      </c>
      <c r="B267" s="132" t="s">
        <v>1483</v>
      </c>
      <c r="C267" s="12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</row>
    <row r="268" spans="1:9" x14ac:dyDescent="0.2">
      <c r="A268" s="16"/>
      <c r="B268" s="6"/>
      <c r="C268" s="38">
        <f t="shared" ref="C268:G268" si="84">SUM(C265:C267)</f>
        <v>0</v>
      </c>
      <c r="D268" s="38">
        <f t="shared" si="84"/>
        <v>0</v>
      </c>
      <c r="E268" s="38">
        <f t="shared" si="84"/>
        <v>0</v>
      </c>
      <c r="F268" s="38">
        <f t="shared" si="84"/>
        <v>0</v>
      </c>
      <c r="G268" s="38">
        <f t="shared" si="84"/>
        <v>0</v>
      </c>
      <c r="H268" s="38">
        <f t="shared" ref="H268:I268" si="85">SUM(H265:H267)</f>
        <v>0</v>
      </c>
      <c r="I268" s="38">
        <f t="shared" si="85"/>
        <v>0</v>
      </c>
    </row>
    <row r="269" spans="1:9" ht="12.75" hidden="1" customHeight="1" x14ac:dyDescent="0.2">
      <c r="A269" s="16" t="s">
        <v>1707</v>
      </c>
      <c r="B269" s="4" t="s">
        <v>1709</v>
      </c>
      <c r="C269" s="10"/>
      <c r="D269" s="10"/>
      <c r="E269" s="10"/>
      <c r="F269" s="10"/>
      <c r="G269" s="10"/>
      <c r="H269" s="10"/>
      <c r="I269" s="10"/>
    </row>
    <row r="270" spans="1:9" ht="12.75" hidden="1" customHeight="1" x14ac:dyDescent="0.2">
      <c r="A270" s="16" t="s">
        <v>1708</v>
      </c>
      <c r="B270" s="5" t="s">
        <v>1028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</row>
    <row r="271" spans="1:9" hidden="1" x14ac:dyDescent="0.2">
      <c r="A271" s="16"/>
      <c r="B271" s="6" t="s">
        <v>1024</v>
      </c>
      <c r="C271" s="38">
        <f t="shared" ref="C271:G271" si="86">SUM(C270)</f>
        <v>0</v>
      </c>
      <c r="D271" s="38">
        <f t="shared" si="86"/>
        <v>0</v>
      </c>
      <c r="E271" s="38">
        <f t="shared" si="86"/>
        <v>0</v>
      </c>
      <c r="F271" s="38">
        <f t="shared" si="86"/>
        <v>0</v>
      </c>
      <c r="G271" s="38">
        <f t="shared" si="86"/>
        <v>0</v>
      </c>
      <c r="H271" s="38">
        <f t="shared" ref="H271:I271" si="87">SUM(H270)</f>
        <v>0</v>
      </c>
      <c r="I271" s="38">
        <f t="shared" si="87"/>
        <v>0</v>
      </c>
    </row>
    <row r="272" spans="1:9" hidden="1" x14ac:dyDescent="0.2">
      <c r="A272" s="16"/>
      <c r="B272" s="6"/>
      <c r="C272" s="10"/>
      <c r="D272" s="10"/>
      <c r="E272" s="10"/>
      <c r="F272" s="10"/>
      <c r="G272" s="10"/>
      <c r="H272" s="10"/>
      <c r="I272" s="10"/>
    </row>
    <row r="273" spans="1:9" ht="12.75" hidden="1" customHeight="1" x14ac:dyDescent="0.2">
      <c r="A273" s="16" t="s">
        <v>1710</v>
      </c>
      <c r="B273" s="4" t="s">
        <v>1712</v>
      </c>
      <c r="C273" s="10"/>
      <c r="D273" s="10"/>
      <c r="E273" s="10"/>
      <c r="F273" s="10"/>
      <c r="G273" s="10"/>
      <c r="H273" s="10"/>
      <c r="I273" s="10"/>
    </row>
    <row r="274" spans="1:9" ht="12.75" hidden="1" customHeight="1" x14ac:dyDescent="0.2">
      <c r="A274" s="16" t="s">
        <v>1711</v>
      </c>
      <c r="B274" s="5" t="s">
        <v>1028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</row>
    <row r="275" spans="1:9" hidden="1" x14ac:dyDescent="0.2">
      <c r="A275" s="16"/>
      <c r="B275" s="6" t="s">
        <v>1024</v>
      </c>
      <c r="C275" s="38">
        <f t="shared" ref="C275:G275" si="88">SUM(C274)</f>
        <v>0</v>
      </c>
      <c r="D275" s="38">
        <f t="shared" si="88"/>
        <v>0</v>
      </c>
      <c r="E275" s="38">
        <f t="shared" si="88"/>
        <v>0</v>
      </c>
      <c r="F275" s="38">
        <f t="shared" si="88"/>
        <v>0</v>
      </c>
      <c r="G275" s="38">
        <f t="shared" si="88"/>
        <v>0</v>
      </c>
      <c r="H275" s="38">
        <f t="shared" ref="H275:I275" si="89">SUM(H274)</f>
        <v>0</v>
      </c>
      <c r="I275" s="38">
        <f t="shared" si="89"/>
        <v>0</v>
      </c>
    </row>
    <row r="276" spans="1:9" hidden="1" x14ac:dyDescent="0.2">
      <c r="A276" s="16"/>
      <c r="B276" s="6"/>
      <c r="C276" s="10"/>
      <c r="D276" s="10"/>
      <c r="E276" s="10"/>
      <c r="F276" s="10"/>
      <c r="G276" s="10"/>
      <c r="H276" s="10"/>
      <c r="I276" s="10"/>
    </row>
    <row r="277" spans="1:9" hidden="1" x14ac:dyDescent="0.2">
      <c r="A277" s="16" t="s">
        <v>205</v>
      </c>
      <c r="B277" s="20" t="s">
        <v>198</v>
      </c>
      <c r="C277" s="10"/>
      <c r="D277" s="10"/>
      <c r="E277" s="10"/>
      <c r="F277" s="10"/>
      <c r="G277" s="10"/>
      <c r="H277" s="10"/>
      <c r="I277" s="10"/>
    </row>
    <row r="278" spans="1:9" hidden="1" x14ac:dyDescent="0.2">
      <c r="A278" s="16" t="s">
        <v>206</v>
      </c>
      <c r="B278" s="21" t="s">
        <v>760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</row>
    <row r="279" spans="1:9" hidden="1" x14ac:dyDescent="0.2">
      <c r="A279" s="16" t="s">
        <v>207</v>
      </c>
      <c r="B279" s="21" t="s">
        <v>1026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</row>
    <row r="280" spans="1:9" hidden="1" x14ac:dyDescent="0.2">
      <c r="A280" s="16" t="s">
        <v>208</v>
      </c>
      <c r="B280" s="21" t="s">
        <v>1027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</row>
    <row r="281" spans="1:9" hidden="1" x14ac:dyDescent="0.2">
      <c r="A281" s="16"/>
      <c r="B281" s="6" t="s">
        <v>1024</v>
      </c>
      <c r="C281" s="38">
        <f t="shared" ref="C281:G281" si="90">SUM(C278:C280)</f>
        <v>0</v>
      </c>
      <c r="D281" s="38">
        <f t="shared" si="90"/>
        <v>0</v>
      </c>
      <c r="E281" s="38">
        <f t="shared" si="90"/>
        <v>0</v>
      </c>
      <c r="F281" s="38">
        <f t="shared" si="90"/>
        <v>0</v>
      </c>
      <c r="G281" s="38">
        <f t="shared" si="90"/>
        <v>0</v>
      </c>
      <c r="H281" s="38">
        <f t="shared" ref="H281:I281" si="91">SUM(H278:H280)</f>
        <v>0</v>
      </c>
      <c r="I281" s="38">
        <f t="shared" si="91"/>
        <v>0</v>
      </c>
    </row>
    <row r="282" spans="1:9" ht="12.75" hidden="1" customHeight="1" x14ac:dyDescent="0.2">
      <c r="A282" s="16"/>
      <c r="B282" s="5"/>
      <c r="C282" s="10"/>
      <c r="D282" s="10"/>
      <c r="E282" s="10"/>
      <c r="F282" s="10"/>
      <c r="G282" s="10"/>
      <c r="H282" s="10"/>
      <c r="I282" s="10"/>
    </row>
    <row r="283" spans="1:9" ht="12.75" customHeight="1" x14ac:dyDescent="0.2">
      <c r="A283" s="198" t="s">
        <v>2222</v>
      </c>
      <c r="B283" s="20" t="s">
        <v>2223</v>
      </c>
      <c r="C283" s="10"/>
      <c r="D283" s="10"/>
      <c r="E283" s="10"/>
      <c r="F283" s="10"/>
      <c r="G283" s="10"/>
      <c r="H283" s="10"/>
      <c r="I283" s="10"/>
    </row>
    <row r="284" spans="1:9" ht="12.75" customHeight="1" x14ac:dyDescent="0.2">
      <c r="A284" s="52" t="s">
        <v>1747</v>
      </c>
      <c r="B284" s="126" t="s">
        <v>2223</v>
      </c>
      <c r="C284" s="12">
        <v>0</v>
      </c>
      <c r="D284" s="12">
        <v>5625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</row>
    <row r="285" spans="1:9" x14ac:dyDescent="0.2">
      <c r="A285" s="16"/>
      <c r="B285" s="6" t="s">
        <v>1024</v>
      </c>
      <c r="C285" s="38">
        <f>+C284</f>
        <v>0</v>
      </c>
      <c r="D285" s="38">
        <f>+D284</f>
        <v>5625</v>
      </c>
      <c r="E285" s="38">
        <f t="shared" ref="E285:F285" si="92">+E284</f>
        <v>0</v>
      </c>
      <c r="F285" s="38">
        <f t="shared" si="92"/>
        <v>0</v>
      </c>
      <c r="G285" s="38">
        <f t="shared" ref="G285:H285" si="93">+G284</f>
        <v>0</v>
      </c>
      <c r="H285" s="38">
        <f t="shared" si="93"/>
        <v>0</v>
      </c>
      <c r="I285" s="38">
        <f t="shared" ref="I285" si="94">+I284</f>
        <v>0</v>
      </c>
    </row>
    <row r="286" spans="1:9" x14ac:dyDescent="0.2">
      <c r="A286" s="16"/>
      <c r="B286" s="6"/>
      <c r="C286" s="10"/>
      <c r="D286" s="10"/>
      <c r="E286" s="10"/>
      <c r="F286" s="10"/>
      <c r="G286" s="10"/>
      <c r="H286" s="10"/>
      <c r="I286" s="10"/>
    </row>
    <row r="287" spans="1:9" x14ac:dyDescent="0.2">
      <c r="A287" s="16"/>
      <c r="C287" s="112"/>
      <c r="D287" s="112"/>
      <c r="E287" s="112"/>
      <c r="F287" s="112"/>
      <c r="G287" s="112"/>
      <c r="H287" s="112"/>
      <c r="I287" s="112"/>
    </row>
    <row r="288" spans="1:9" ht="13.5" thickBot="1" x14ac:dyDescent="0.25">
      <c r="A288" s="16"/>
      <c r="B288" s="6" t="s">
        <v>1341</v>
      </c>
      <c r="C288" s="36">
        <f>C64+C72+C87+C97+C101+C117+C121+C125+C129+C133+C137+C141+C145+C149+C153+C157+C163+C167+C171+C177+C191+C238+C244+C256+C262+C285+C108+C250+C112+C181+C185+C268+C210+C199+C195+C78+C223+C218+C214</f>
        <v>104346.55</v>
      </c>
      <c r="D288" s="36">
        <f>D64+D72+D87+D97+D101+D117+D121+D125+D129+D133+D137+D141+D145+D149+D153+D157+D163+D167+D171+D177+D191+D238+D244+D256+D262+D285+D108+D250+D112+D181+D185+D268+D210+D199+D195+D78+D223+D218+D214</f>
        <v>114540.13</v>
      </c>
      <c r="E288" s="36">
        <f>E64+E72+E87+E97+E101+E117+E121+E125+E129+E133+E137+E141+E145+E149+E153+E157+E163+E167+E171+E177+E191+E238+E244+E256+E262+E285+E108+E250+E112+E181+E185+E268+E210+E199+E195+E78+E223+E218+E214</f>
        <v>382765.45</v>
      </c>
      <c r="F288" s="36">
        <f>F64+F72+F87+F97+F101+F117+F121+F125+F129+F133+F137+F141+F145+F149+F153+F157+F163+F167+F171+F177+F191+F238+F244+F256+F262+F285+F108+F250+F112+F181+F185+F268+F210+F199+F195+F78+F223+F218+F214</f>
        <v>1584390.17</v>
      </c>
      <c r="G288" s="36">
        <f>G64+G72+G87+G97+G101+G117+G121+G125+G129+G133+G137+G141+G145+G149+G153+G157+G163+G167+G171+G177+G191+G238+G244+G256+G262+G285+G108+G250+G112+G181+G185+G268+G210+G199+G195+G78+G223+G218+G214+G232+G227</f>
        <v>121207.52000000002</v>
      </c>
      <c r="H288" s="36">
        <f>H64+H72+H87+H97+H101+H117+H121+H125+H129+H133+H137+H141+H145+H149+H153+H157+H163+H167+H171+H177+H191+H238+H244+H256+H262+H285+H108+H250+H112+H181+H185+H268+H210+H199+H195+H78+H223+H218+H214</f>
        <v>33118.869999999995</v>
      </c>
      <c r="I288" s="36">
        <f>I64+I72+I87+I97+I101+I117+I121+I125+I129+I133+I137+I141+I145+I149+I153+I157+I163+I167+I171+I177+I191+I238+I244+I256+I262+I285+I108+I250+I112+I181+I185+I268+I210+I199+I195+I78+I223+I218+I214</f>
        <v>33118.869999999995</v>
      </c>
    </row>
    <row r="289" spans="1:9" ht="13.5" thickTop="1" x14ac:dyDescent="0.2">
      <c r="A289" s="16"/>
      <c r="B289" t="s">
        <v>1433</v>
      </c>
      <c r="C289" s="10"/>
      <c r="D289" s="10"/>
      <c r="E289" s="10"/>
      <c r="F289" s="10"/>
      <c r="G289" s="10"/>
      <c r="H289" s="10"/>
      <c r="I289" s="10"/>
    </row>
    <row r="290" spans="1:9" x14ac:dyDescent="0.2">
      <c r="A290" s="16"/>
      <c r="B290" s="4" t="s">
        <v>653</v>
      </c>
      <c r="C290" s="10"/>
      <c r="D290" s="10"/>
      <c r="E290" s="10"/>
      <c r="F290" s="10"/>
      <c r="G290" s="10"/>
      <c r="H290" s="10"/>
      <c r="I290" s="10"/>
    </row>
    <row r="291" spans="1:9" x14ac:dyDescent="0.2">
      <c r="A291" s="16"/>
      <c r="B291" s="4" t="s">
        <v>80</v>
      </c>
      <c r="C291" s="10"/>
      <c r="D291" s="10"/>
      <c r="E291" s="10"/>
      <c r="F291" s="10"/>
      <c r="G291" s="10"/>
      <c r="H291" s="10"/>
      <c r="I291" s="10"/>
    </row>
    <row r="292" spans="1:9" x14ac:dyDescent="0.2">
      <c r="A292" s="16"/>
      <c r="B292" s="4" t="s">
        <v>1343</v>
      </c>
      <c r="C292" s="10"/>
      <c r="D292" s="10"/>
      <c r="E292" s="10"/>
      <c r="F292" s="10"/>
      <c r="G292" s="10"/>
      <c r="H292" s="10"/>
      <c r="I292" s="10"/>
    </row>
    <row r="293" spans="1:9" x14ac:dyDescent="0.2">
      <c r="A293" s="16"/>
      <c r="C293" s="129" t="str">
        <f t="shared" ref="C293:I293" si="95">+C$5</f>
        <v>2018 ACTUAL</v>
      </c>
      <c r="D293" s="129" t="str">
        <f t="shared" si="95"/>
        <v>2019 ACTUAL</v>
      </c>
      <c r="E293" s="129" t="str">
        <f t="shared" si="95"/>
        <v>2020 ACTUAL</v>
      </c>
      <c r="F293" s="129" t="str">
        <f t="shared" si="95"/>
        <v>2021 ACTUAL</v>
      </c>
      <c r="G293" s="129" t="str">
        <f t="shared" si="95"/>
        <v>2022 ACTUAL</v>
      </c>
      <c r="H293" s="129" t="str">
        <f t="shared" si="95"/>
        <v xml:space="preserve">2023 BUDGET </v>
      </c>
      <c r="I293" s="129" t="str">
        <f t="shared" si="95"/>
        <v xml:space="preserve">2024 BUDGET </v>
      </c>
    </row>
    <row r="294" spans="1:9" x14ac:dyDescent="0.2">
      <c r="A294" s="16"/>
      <c r="C294" s="112"/>
      <c r="D294" s="112"/>
      <c r="E294" s="112"/>
      <c r="F294" s="112"/>
      <c r="G294" s="112"/>
      <c r="H294" s="112"/>
      <c r="I294" s="112"/>
    </row>
    <row r="295" spans="1:9" x14ac:dyDescent="0.2">
      <c r="A295" s="16"/>
      <c r="B295" t="s">
        <v>1344</v>
      </c>
      <c r="C295" s="10">
        <v>42244.78</v>
      </c>
      <c r="D295" s="10">
        <f t="shared" ref="D295:I295" si="96">C303</f>
        <v>58433.429999999978</v>
      </c>
      <c r="E295" s="10">
        <f t="shared" si="96"/>
        <v>76523.919999999925</v>
      </c>
      <c r="F295" s="10">
        <f t="shared" si="96"/>
        <v>90129.04999999993</v>
      </c>
      <c r="G295" s="10">
        <f t="shared" si="96"/>
        <v>-168652.10999999987</v>
      </c>
      <c r="H295" s="10">
        <f t="shared" si="96"/>
        <v>-98343.169999999867</v>
      </c>
      <c r="I295" s="10">
        <f t="shared" si="96"/>
        <v>-93843.169999999867</v>
      </c>
    </row>
    <row r="296" spans="1:9" x14ac:dyDescent="0.2">
      <c r="A296" s="16"/>
      <c r="C296" s="10"/>
      <c r="D296" s="10"/>
      <c r="E296" s="10"/>
      <c r="F296" s="10"/>
      <c r="G296" s="10"/>
      <c r="H296" s="10"/>
      <c r="I296" s="10"/>
    </row>
    <row r="297" spans="1:9" x14ac:dyDescent="0.2">
      <c r="B297" t="s">
        <v>1345</v>
      </c>
      <c r="C297" s="10">
        <f t="shared" ref="C297:I297" si="97">C51</f>
        <v>120535.2</v>
      </c>
      <c r="D297" s="10">
        <f t="shared" si="97"/>
        <v>132630.61999999997</v>
      </c>
      <c r="E297" s="10">
        <f t="shared" si="97"/>
        <v>396370.58</v>
      </c>
      <c r="F297" s="10">
        <f t="shared" si="97"/>
        <v>1325609.01</v>
      </c>
      <c r="G297" s="10">
        <f t="shared" si="97"/>
        <v>191516.46000000002</v>
      </c>
      <c r="H297" s="10">
        <f t="shared" si="97"/>
        <v>37618.869999999995</v>
      </c>
      <c r="I297" s="10">
        <f t="shared" si="97"/>
        <v>37618.869999999995</v>
      </c>
    </row>
    <row r="298" spans="1:9" x14ac:dyDescent="0.2">
      <c r="C298" s="10"/>
      <c r="D298" s="10"/>
      <c r="E298" s="10"/>
      <c r="F298" s="10"/>
      <c r="G298" s="10"/>
      <c r="H298" s="10"/>
      <c r="I298" s="10"/>
    </row>
    <row r="299" spans="1:9" x14ac:dyDescent="0.2">
      <c r="B299" t="s">
        <v>1346</v>
      </c>
      <c r="C299" s="10">
        <f t="shared" ref="C299:G299" si="98">C288</f>
        <v>104346.55</v>
      </c>
      <c r="D299" s="10">
        <f t="shared" si="98"/>
        <v>114540.13</v>
      </c>
      <c r="E299" s="10">
        <f t="shared" si="98"/>
        <v>382765.45</v>
      </c>
      <c r="F299" s="10">
        <f t="shared" si="98"/>
        <v>1584390.17</v>
      </c>
      <c r="G299" s="10">
        <f t="shared" si="98"/>
        <v>121207.52000000002</v>
      </c>
      <c r="H299" s="10">
        <f t="shared" ref="H299:I299" si="99">H288</f>
        <v>33118.869999999995</v>
      </c>
      <c r="I299" s="10">
        <f t="shared" si="99"/>
        <v>33118.869999999995</v>
      </c>
    </row>
    <row r="300" spans="1:9" x14ac:dyDescent="0.2">
      <c r="C300" s="10"/>
      <c r="D300" s="10"/>
      <c r="E300" s="10"/>
      <c r="F300" s="10"/>
      <c r="G300" s="10"/>
      <c r="H300" s="10"/>
      <c r="I300" s="10"/>
    </row>
    <row r="301" spans="1:9" x14ac:dyDescent="0.2">
      <c r="B301" t="s">
        <v>1347</v>
      </c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</row>
    <row r="302" spans="1:9" x14ac:dyDescent="0.2">
      <c r="C302" s="10"/>
      <c r="D302" s="10"/>
      <c r="E302" s="10"/>
      <c r="F302" s="10"/>
      <c r="G302" s="10"/>
      <c r="H302" s="10"/>
      <c r="I302" s="10"/>
    </row>
    <row r="303" spans="1:9" ht="13.5" thickBot="1" x14ac:dyDescent="0.25">
      <c r="B303" t="s">
        <v>1348</v>
      </c>
      <c r="C303" s="36">
        <f t="shared" ref="C303:G303" si="100">C295+C297-C299+C301</f>
        <v>58433.429999999978</v>
      </c>
      <c r="D303" s="36">
        <f t="shared" si="100"/>
        <v>76523.919999999925</v>
      </c>
      <c r="E303" s="36">
        <f t="shared" si="100"/>
        <v>90129.04999999993</v>
      </c>
      <c r="F303" s="36">
        <f t="shared" si="100"/>
        <v>-168652.10999999987</v>
      </c>
      <c r="G303" s="36">
        <f t="shared" si="100"/>
        <v>-98343.169999999867</v>
      </c>
      <c r="H303" s="36">
        <f t="shared" ref="H303:I303" si="101">H295+H297-H299+H301</f>
        <v>-93843.169999999867</v>
      </c>
      <c r="I303" s="36">
        <f t="shared" si="101"/>
        <v>-89343.169999999867</v>
      </c>
    </row>
    <row r="304" spans="1:9" ht="13.5" thickTop="1" x14ac:dyDescent="0.2"/>
    <row r="305" spans="3:8" x14ac:dyDescent="0.2">
      <c r="D305" s="10"/>
      <c r="E305" s="115"/>
      <c r="G305" t="s">
        <v>2567</v>
      </c>
    </row>
    <row r="306" spans="3:8" x14ac:dyDescent="0.2">
      <c r="C306" s="10"/>
      <c r="G306" s="108">
        <v>13944.2</v>
      </c>
      <c r="H306" t="s">
        <v>2565</v>
      </c>
    </row>
    <row r="307" spans="3:8" x14ac:dyDescent="0.2">
      <c r="D307" s="10"/>
      <c r="G307" s="108">
        <v>20927.439999999999</v>
      </c>
      <c r="H307" t="s">
        <v>2566</v>
      </c>
    </row>
    <row r="308" spans="3:8" x14ac:dyDescent="0.2">
      <c r="G308" s="146">
        <f>SUM(G306:G307)</f>
        <v>34871.64</v>
      </c>
    </row>
    <row r="309" spans="3:8" x14ac:dyDescent="0.2">
      <c r="G309" s="108"/>
    </row>
    <row r="310" spans="3:8" x14ac:dyDescent="0.2">
      <c r="G310" s="108">
        <f>+G303+G308</f>
        <v>-63471.529999999868</v>
      </c>
      <c r="H310" t="s">
        <v>2568</v>
      </c>
    </row>
    <row r="316" spans="3:8" x14ac:dyDescent="0.2">
      <c r="G316" s="115"/>
    </row>
  </sheetData>
  <phoneticPr fontId="2" type="noConversion"/>
  <pageMargins left="0.5" right="0.5" top="1" bottom="1" header="0.5" footer="0.5"/>
  <pageSetup scale="80" firstPageNumber="41" fitToHeight="0" orientation="portrait" useFirstPageNumber="1" r:id="rId1"/>
  <headerFooter alignWithMargins="0">
    <oddFooter>&amp;C&amp;P</oddFooter>
  </headerFooter>
  <rowBreaks count="2" manualBreakCount="2">
    <brk id="57" max="16383" man="1"/>
    <brk id="25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0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3.425781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t="s">
        <v>1433</v>
      </c>
      <c r="B1" s="4" t="s">
        <v>653</v>
      </c>
    </row>
    <row r="2" spans="1:9" x14ac:dyDescent="0.2">
      <c r="B2" s="4" t="s">
        <v>2396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3" spans="1:9" x14ac:dyDescent="0.2"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9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202" t="s">
        <v>2475</v>
      </c>
      <c r="B5" s="4" t="s">
        <v>313</v>
      </c>
    </row>
    <row r="6" spans="1:9" x14ac:dyDescent="0.2">
      <c r="A6" s="39" t="s">
        <v>2382</v>
      </c>
      <c r="B6" s="125" t="s">
        <v>2379</v>
      </c>
      <c r="C6" s="10">
        <v>0</v>
      </c>
      <c r="D6" s="10">
        <v>0</v>
      </c>
      <c r="E6" s="10">
        <v>0</v>
      </c>
      <c r="F6" s="10">
        <v>0</v>
      </c>
      <c r="G6" s="10">
        <v>4145691.41</v>
      </c>
      <c r="H6" s="10">
        <v>6463570</v>
      </c>
      <c r="I6" s="10">
        <v>2504798</v>
      </c>
    </row>
    <row r="7" spans="1:9" x14ac:dyDescent="0.2">
      <c r="A7" s="16" t="s">
        <v>2378</v>
      </c>
      <c r="B7" s="126" t="s">
        <v>1761</v>
      </c>
      <c r="C7" s="12">
        <v>0</v>
      </c>
      <c r="D7" s="12">
        <v>0</v>
      </c>
      <c r="E7" s="12">
        <v>0</v>
      </c>
      <c r="F7" s="12">
        <v>4706.05</v>
      </c>
      <c r="G7" s="12">
        <v>21158.93</v>
      </c>
      <c r="H7" s="12">
        <v>150000</v>
      </c>
      <c r="I7" s="12">
        <v>0</v>
      </c>
    </row>
    <row r="8" spans="1:9" ht="13.5" thickBot="1" x14ac:dyDescent="0.25">
      <c r="A8" t="s">
        <v>1433</v>
      </c>
      <c r="B8" s="6" t="s">
        <v>137</v>
      </c>
      <c r="C8" s="36">
        <f t="shared" ref="C8:G8" si="0">SUM(C6:C7)</f>
        <v>0</v>
      </c>
      <c r="D8" s="36">
        <f t="shared" si="0"/>
        <v>0</v>
      </c>
      <c r="E8" s="36">
        <f t="shared" si="0"/>
        <v>0</v>
      </c>
      <c r="F8" s="36">
        <f t="shared" si="0"/>
        <v>4706.05</v>
      </c>
      <c r="G8" s="36">
        <f t="shared" si="0"/>
        <v>4166850.3400000003</v>
      </c>
      <c r="H8" s="36">
        <f t="shared" ref="H8:I8" si="1">SUM(H6:H7)</f>
        <v>6613570</v>
      </c>
      <c r="I8" s="36">
        <f t="shared" si="1"/>
        <v>2504798</v>
      </c>
    </row>
    <row r="9" spans="1:9" ht="13.5" thickTop="1" x14ac:dyDescent="0.2">
      <c r="C9" s="10"/>
      <c r="D9" s="10"/>
      <c r="E9" s="10"/>
      <c r="F9" s="10"/>
      <c r="G9" s="10"/>
      <c r="H9" s="10"/>
      <c r="I9" s="10"/>
    </row>
    <row r="10" spans="1:9" x14ac:dyDescent="0.2">
      <c r="A10" t="s">
        <v>1433</v>
      </c>
      <c r="C10" s="10"/>
      <c r="D10" s="10"/>
      <c r="E10" s="10"/>
      <c r="F10" s="10"/>
      <c r="G10" s="10"/>
      <c r="H10" s="10"/>
      <c r="I10" s="10"/>
    </row>
    <row r="11" spans="1:9" x14ac:dyDescent="0.2">
      <c r="A11" s="202" t="s">
        <v>2475</v>
      </c>
      <c r="B11" s="4" t="s">
        <v>861</v>
      </c>
      <c r="C11" s="10"/>
      <c r="D11" s="10"/>
      <c r="E11" s="10"/>
      <c r="F11" s="10"/>
      <c r="G11" s="10"/>
      <c r="H11" s="10"/>
      <c r="I11" s="10"/>
    </row>
    <row r="12" spans="1:9" x14ac:dyDescent="0.2">
      <c r="A12" s="39" t="s">
        <v>2438</v>
      </c>
      <c r="B12" s="126" t="s">
        <v>2086</v>
      </c>
      <c r="C12" s="10">
        <v>0</v>
      </c>
      <c r="D12" s="10">
        <v>0</v>
      </c>
      <c r="E12" s="10">
        <v>0</v>
      </c>
      <c r="F12" s="10">
        <v>0</v>
      </c>
      <c r="G12" s="10">
        <v>488892.11</v>
      </c>
      <c r="H12" s="10">
        <v>3500000</v>
      </c>
      <c r="I12" s="10">
        <v>504798</v>
      </c>
    </row>
    <row r="13" spans="1:9" x14ac:dyDescent="0.2">
      <c r="A13" s="39" t="s">
        <v>2380</v>
      </c>
      <c r="B13" s="126" t="s">
        <v>2147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1500000</v>
      </c>
      <c r="I13" s="10">
        <v>1500000</v>
      </c>
    </row>
    <row r="14" spans="1:9" x14ac:dyDescent="0.2">
      <c r="A14" s="39" t="s">
        <v>2381</v>
      </c>
      <c r="B14" s="126" t="s">
        <v>1900</v>
      </c>
      <c r="C14" s="189">
        <v>0</v>
      </c>
      <c r="D14" s="171">
        <v>0</v>
      </c>
      <c r="E14" s="171">
        <v>0</v>
      </c>
      <c r="F14" s="171">
        <v>0</v>
      </c>
      <c r="G14" s="10">
        <v>0</v>
      </c>
      <c r="H14" s="10">
        <f>2000000-607555</f>
        <v>1392445</v>
      </c>
      <c r="I14" s="10">
        <v>0</v>
      </c>
    </row>
    <row r="15" spans="1:9" x14ac:dyDescent="0.2">
      <c r="A15" s="39" t="s">
        <v>2439</v>
      </c>
      <c r="B15" s="126" t="s">
        <v>2512</v>
      </c>
      <c r="C15" s="189">
        <v>0</v>
      </c>
      <c r="D15" s="171">
        <v>0</v>
      </c>
      <c r="E15" s="171">
        <v>0</v>
      </c>
      <c r="F15" s="171">
        <v>0</v>
      </c>
      <c r="G15" s="10">
        <v>2156799.2999999998</v>
      </c>
      <c r="H15" s="10">
        <v>2000000</v>
      </c>
      <c r="I15" s="10">
        <v>100000</v>
      </c>
    </row>
    <row r="16" spans="1:9" x14ac:dyDescent="0.2">
      <c r="A16" s="39" t="s">
        <v>2440</v>
      </c>
      <c r="B16" s="126" t="s">
        <v>2441</v>
      </c>
      <c r="C16" s="189">
        <v>0</v>
      </c>
      <c r="D16" s="171">
        <v>0</v>
      </c>
      <c r="E16" s="171">
        <v>0</v>
      </c>
      <c r="F16" s="171">
        <v>0</v>
      </c>
      <c r="G16" s="10">
        <v>0</v>
      </c>
      <c r="H16" s="10">
        <v>349651</v>
      </c>
      <c r="I16" s="10">
        <v>0</v>
      </c>
    </row>
    <row r="17" spans="1:9" x14ac:dyDescent="0.2">
      <c r="A17" s="16" t="s">
        <v>2519</v>
      </c>
      <c r="B17" s="126" t="s">
        <v>2520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0">
        <v>0</v>
      </c>
      <c r="I17" s="10">
        <v>400000</v>
      </c>
    </row>
    <row r="18" spans="1:9" x14ac:dyDescent="0.2">
      <c r="A18" s="39" t="s">
        <v>2404</v>
      </c>
      <c r="B18" s="126" t="s">
        <v>2405</v>
      </c>
      <c r="C18" s="189">
        <v>0</v>
      </c>
      <c r="D18" s="171">
        <v>0</v>
      </c>
      <c r="E18" s="171">
        <v>0</v>
      </c>
      <c r="F18" s="171">
        <v>0</v>
      </c>
      <c r="G18" s="10">
        <v>100000</v>
      </c>
      <c r="H18" s="10">
        <v>0</v>
      </c>
      <c r="I18" s="10">
        <v>0</v>
      </c>
    </row>
    <row r="19" spans="1:9" x14ac:dyDescent="0.2">
      <c r="A19" s="39" t="s">
        <v>2406</v>
      </c>
      <c r="B19" s="126" t="s">
        <v>2407</v>
      </c>
      <c r="C19" s="189">
        <v>0</v>
      </c>
      <c r="D19" s="171">
        <v>0</v>
      </c>
      <c r="E19" s="171">
        <v>0</v>
      </c>
      <c r="F19" s="171">
        <v>0</v>
      </c>
      <c r="G19" s="10">
        <v>200000</v>
      </c>
      <c r="H19" s="10">
        <v>0</v>
      </c>
      <c r="I19" s="10">
        <v>0</v>
      </c>
    </row>
    <row r="20" spans="1:9" x14ac:dyDescent="0.2">
      <c r="A20" s="39" t="s">
        <v>2408</v>
      </c>
      <c r="B20" s="126" t="s">
        <v>2409</v>
      </c>
      <c r="C20" s="189">
        <v>0</v>
      </c>
      <c r="D20" s="171">
        <v>0</v>
      </c>
      <c r="E20" s="171">
        <v>0</v>
      </c>
      <c r="F20" s="171">
        <v>0</v>
      </c>
      <c r="G20" s="10">
        <v>200000</v>
      </c>
      <c r="H20" s="10">
        <v>0</v>
      </c>
      <c r="I20" s="10">
        <v>0</v>
      </c>
    </row>
    <row r="21" spans="1:9" x14ac:dyDescent="0.2">
      <c r="A21" s="39" t="s">
        <v>2410</v>
      </c>
      <c r="B21" s="126" t="s">
        <v>2411</v>
      </c>
      <c r="C21" s="189">
        <v>0</v>
      </c>
      <c r="D21" s="171">
        <v>0</v>
      </c>
      <c r="E21" s="171">
        <v>0</v>
      </c>
      <c r="F21" s="171">
        <v>0</v>
      </c>
      <c r="G21" s="10">
        <v>100000</v>
      </c>
      <c r="H21" s="10">
        <v>0</v>
      </c>
      <c r="I21" s="10">
        <v>0</v>
      </c>
    </row>
    <row r="22" spans="1:9" x14ac:dyDescent="0.2">
      <c r="A22" s="39" t="s">
        <v>2412</v>
      </c>
      <c r="B22" s="126" t="s">
        <v>2413</v>
      </c>
      <c r="C22" s="189">
        <v>0</v>
      </c>
      <c r="D22" s="171">
        <v>0</v>
      </c>
      <c r="E22" s="171">
        <v>0</v>
      </c>
      <c r="F22" s="171">
        <v>0</v>
      </c>
      <c r="G22" s="10">
        <v>100000</v>
      </c>
      <c r="H22" s="10">
        <v>0</v>
      </c>
      <c r="I22" s="10">
        <v>0</v>
      </c>
    </row>
    <row r="23" spans="1:9" x14ac:dyDescent="0.2">
      <c r="A23" s="39" t="s">
        <v>2414</v>
      </c>
      <c r="B23" s="126" t="s">
        <v>2415</v>
      </c>
      <c r="C23" s="189">
        <v>0</v>
      </c>
      <c r="D23" s="171">
        <v>0</v>
      </c>
      <c r="E23" s="171">
        <v>0</v>
      </c>
      <c r="F23" s="171">
        <v>0</v>
      </c>
      <c r="G23" s="10">
        <v>100000</v>
      </c>
      <c r="H23" s="10">
        <v>0</v>
      </c>
      <c r="I23" s="10">
        <v>0</v>
      </c>
    </row>
    <row r="24" spans="1:9" x14ac:dyDescent="0.2">
      <c r="A24" s="39" t="s">
        <v>2416</v>
      </c>
      <c r="B24" s="126" t="s">
        <v>2417</v>
      </c>
      <c r="C24" s="189">
        <v>0</v>
      </c>
      <c r="D24" s="171">
        <v>0</v>
      </c>
      <c r="E24" s="171">
        <v>0</v>
      </c>
      <c r="F24" s="171">
        <v>0</v>
      </c>
      <c r="G24" s="10">
        <v>100000</v>
      </c>
      <c r="H24" s="10">
        <v>0</v>
      </c>
      <c r="I24" s="10">
        <v>0</v>
      </c>
    </row>
    <row r="25" spans="1:9" x14ac:dyDescent="0.2">
      <c r="A25" s="39" t="s">
        <v>2418</v>
      </c>
      <c r="B25" s="126" t="s">
        <v>2419</v>
      </c>
      <c r="C25" s="189">
        <v>0</v>
      </c>
      <c r="D25" s="171">
        <v>0</v>
      </c>
      <c r="E25" s="171">
        <v>0</v>
      </c>
      <c r="F25" s="171">
        <v>0</v>
      </c>
      <c r="G25" s="10">
        <v>100000</v>
      </c>
      <c r="H25" s="10">
        <v>0</v>
      </c>
      <c r="I25" s="10">
        <v>0</v>
      </c>
    </row>
    <row r="26" spans="1:9" x14ac:dyDescent="0.2">
      <c r="A26" s="39" t="s">
        <v>2420</v>
      </c>
      <c r="B26" s="126" t="s">
        <v>2421</v>
      </c>
      <c r="C26" s="189">
        <v>0</v>
      </c>
      <c r="D26" s="171">
        <v>0</v>
      </c>
      <c r="E26" s="171">
        <v>0</v>
      </c>
      <c r="F26" s="171">
        <v>0</v>
      </c>
      <c r="G26" s="10">
        <v>100000</v>
      </c>
      <c r="H26" s="10">
        <v>0</v>
      </c>
      <c r="I26" s="10">
        <v>0</v>
      </c>
    </row>
    <row r="27" spans="1:9" x14ac:dyDescent="0.2">
      <c r="A27" s="39" t="s">
        <v>2422</v>
      </c>
      <c r="B27" s="126" t="s">
        <v>2423</v>
      </c>
      <c r="C27" s="189">
        <v>0</v>
      </c>
      <c r="D27" s="171">
        <v>0</v>
      </c>
      <c r="E27" s="171">
        <v>0</v>
      </c>
      <c r="F27" s="171">
        <v>0</v>
      </c>
      <c r="G27" s="10">
        <v>100000</v>
      </c>
      <c r="H27" s="10">
        <v>0</v>
      </c>
      <c r="I27" s="10">
        <v>0</v>
      </c>
    </row>
    <row r="28" spans="1:9" x14ac:dyDescent="0.2">
      <c r="A28" s="39" t="s">
        <v>2424</v>
      </c>
      <c r="B28" s="126" t="s">
        <v>2425</v>
      </c>
      <c r="C28" s="189">
        <v>0</v>
      </c>
      <c r="D28" s="171">
        <v>0</v>
      </c>
      <c r="E28" s="171">
        <v>0</v>
      </c>
      <c r="F28" s="171">
        <v>0</v>
      </c>
      <c r="G28" s="10">
        <v>200000</v>
      </c>
      <c r="H28" s="10">
        <v>0</v>
      </c>
      <c r="I28" s="10">
        <v>0</v>
      </c>
    </row>
    <row r="29" spans="1:9" x14ac:dyDescent="0.2">
      <c r="A29" s="39" t="s">
        <v>2426</v>
      </c>
      <c r="B29" s="126" t="s">
        <v>2427</v>
      </c>
      <c r="C29" s="189">
        <v>0</v>
      </c>
      <c r="D29" s="171">
        <v>0</v>
      </c>
      <c r="E29" s="171">
        <v>0</v>
      </c>
      <c r="F29" s="171">
        <v>0</v>
      </c>
      <c r="G29" s="10">
        <v>100000</v>
      </c>
      <c r="H29" s="10">
        <v>0</v>
      </c>
      <c r="I29" s="10">
        <v>0</v>
      </c>
    </row>
    <row r="30" spans="1:9" ht="13.5" thickBot="1" x14ac:dyDescent="0.25">
      <c r="B30" s="6" t="s">
        <v>1341</v>
      </c>
      <c r="C30" s="135">
        <f t="shared" ref="C30:G30" si="2">SUM(C12:C29)</f>
        <v>0</v>
      </c>
      <c r="D30" s="135">
        <f t="shared" si="2"/>
        <v>0</v>
      </c>
      <c r="E30" s="135">
        <f t="shared" si="2"/>
        <v>0</v>
      </c>
      <c r="F30" s="135">
        <f t="shared" si="2"/>
        <v>0</v>
      </c>
      <c r="G30" s="135">
        <f t="shared" si="2"/>
        <v>4145691.4099999997</v>
      </c>
      <c r="H30" s="135">
        <f>SUM(H12:H29)</f>
        <v>8742096</v>
      </c>
      <c r="I30" s="135">
        <f>SUM(I12:I29)</f>
        <v>2504798</v>
      </c>
    </row>
    <row r="31" spans="1:9" ht="13.5" thickTop="1" x14ac:dyDescent="0.2">
      <c r="B31" s="6"/>
      <c r="C31" s="10"/>
      <c r="D31" s="10"/>
      <c r="E31" s="10"/>
      <c r="F31" s="10"/>
      <c r="G31" s="10"/>
      <c r="H31" s="10"/>
      <c r="I31" s="10"/>
    </row>
    <row r="32" spans="1:9" x14ac:dyDescent="0.2">
      <c r="B32" s="6"/>
      <c r="C32" s="10"/>
      <c r="D32" s="10"/>
      <c r="E32" s="10"/>
      <c r="F32" s="10"/>
      <c r="G32" s="10"/>
      <c r="H32" s="10"/>
      <c r="I32" s="10"/>
    </row>
    <row r="33" spans="1:9" x14ac:dyDescent="0.2">
      <c r="B33" s="4" t="s">
        <v>653</v>
      </c>
      <c r="C33" s="112" t="s">
        <v>1433</v>
      </c>
      <c r="D33" s="112" t="s">
        <v>1433</v>
      </c>
      <c r="E33" s="112" t="s">
        <v>1433</v>
      </c>
      <c r="F33" s="112" t="s">
        <v>1433</v>
      </c>
      <c r="G33" s="112" t="s">
        <v>1433</v>
      </c>
      <c r="H33" s="112" t="s">
        <v>1433</v>
      </c>
      <c r="I33" s="112" t="s">
        <v>1433</v>
      </c>
    </row>
    <row r="34" spans="1:9" x14ac:dyDescent="0.2">
      <c r="B34" s="4" t="s">
        <v>2396</v>
      </c>
      <c r="C34" s="112" t="s">
        <v>1433</v>
      </c>
      <c r="D34" s="112" t="s">
        <v>1433</v>
      </c>
      <c r="E34" s="112" t="s">
        <v>1433</v>
      </c>
      <c r="F34" s="112" t="s">
        <v>1433</v>
      </c>
      <c r="G34" s="112" t="s">
        <v>1433</v>
      </c>
      <c r="H34" s="112" t="s">
        <v>1433</v>
      </c>
      <c r="I34" s="112" t="s">
        <v>1433</v>
      </c>
    </row>
    <row r="35" spans="1:9" x14ac:dyDescent="0.2">
      <c r="B35" s="4" t="s">
        <v>1343</v>
      </c>
      <c r="C35" s="112" t="s">
        <v>1433</v>
      </c>
      <c r="D35" s="112" t="s">
        <v>1433</v>
      </c>
      <c r="E35" s="112" t="s">
        <v>1433</v>
      </c>
      <c r="F35" s="112" t="s">
        <v>1433</v>
      </c>
      <c r="G35" s="112" t="s">
        <v>1433</v>
      </c>
      <c r="H35" s="112" t="s">
        <v>1433</v>
      </c>
      <c r="I35" s="112" t="s">
        <v>1433</v>
      </c>
    </row>
    <row r="36" spans="1:9" x14ac:dyDescent="0.2">
      <c r="C36" s="129" t="str">
        <f t="shared" ref="C36:G36" si="3">+C4</f>
        <v>2018 ACTUAL</v>
      </c>
      <c r="D36" s="129" t="str">
        <f t="shared" si="3"/>
        <v>2019 ACTUAL</v>
      </c>
      <c r="E36" s="129" t="str">
        <f t="shared" si="3"/>
        <v>2020 ACTUAL</v>
      </c>
      <c r="F36" s="129" t="str">
        <f t="shared" si="3"/>
        <v>2021 ACTUAL</v>
      </c>
      <c r="G36" s="129" t="str">
        <f t="shared" si="3"/>
        <v>2022 ACTUAL</v>
      </c>
      <c r="H36" s="129" t="str">
        <f t="shared" ref="H36:I36" si="4">+H4</f>
        <v xml:space="preserve">2023 BUDGET </v>
      </c>
      <c r="I36" s="129" t="str">
        <f t="shared" si="4"/>
        <v xml:space="preserve">2024 BUDGET </v>
      </c>
    </row>
    <row r="37" spans="1:9" x14ac:dyDescent="0.2">
      <c r="A37" t="s">
        <v>1433</v>
      </c>
      <c r="C37" s="112"/>
      <c r="D37" s="112"/>
      <c r="E37" s="112"/>
      <c r="F37" s="112"/>
      <c r="G37" s="112"/>
      <c r="H37" s="112"/>
      <c r="I37" s="112"/>
    </row>
    <row r="38" spans="1:9" x14ac:dyDescent="0.2">
      <c r="B38" t="s">
        <v>1344</v>
      </c>
      <c r="C38" s="10">
        <v>0</v>
      </c>
      <c r="D38" s="10">
        <f t="shared" ref="D38:I38" si="5">C46</f>
        <v>0</v>
      </c>
      <c r="E38" s="10">
        <f t="shared" si="5"/>
        <v>0</v>
      </c>
      <c r="F38" s="10">
        <f t="shared" si="5"/>
        <v>0</v>
      </c>
      <c r="G38" s="10">
        <f t="shared" si="5"/>
        <v>4706.05</v>
      </c>
      <c r="H38" s="10">
        <f t="shared" si="5"/>
        <v>25864.980000000447</v>
      </c>
      <c r="I38" s="10">
        <f t="shared" si="5"/>
        <v>-2102661.0199999996</v>
      </c>
    </row>
    <row r="39" spans="1:9" x14ac:dyDescent="0.2">
      <c r="A39" t="s">
        <v>1433</v>
      </c>
      <c r="C39" s="10"/>
      <c r="D39" s="10"/>
      <c r="E39" s="10"/>
      <c r="F39" s="10"/>
      <c r="G39" s="10"/>
      <c r="H39" s="10"/>
      <c r="I39" s="10"/>
    </row>
    <row r="40" spans="1:9" x14ac:dyDescent="0.2">
      <c r="B40" t="s">
        <v>113</v>
      </c>
      <c r="C40" s="10">
        <f t="shared" ref="C40:G40" si="6">C8</f>
        <v>0</v>
      </c>
      <c r="D40" s="10">
        <f t="shared" si="6"/>
        <v>0</v>
      </c>
      <c r="E40" s="10">
        <f t="shared" si="6"/>
        <v>0</v>
      </c>
      <c r="F40" s="10">
        <f t="shared" si="6"/>
        <v>4706.05</v>
      </c>
      <c r="G40" s="10">
        <f t="shared" si="6"/>
        <v>4166850.3400000003</v>
      </c>
      <c r="H40" s="10">
        <f t="shared" ref="H40:I40" si="7">H8</f>
        <v>6613570</v>
      </c>
      <c r="I40" s="10">
        <f t="shared" si="7"/>
        <v>2504798</v>
      </c>
    </row>
    <row r="41" spans="1:9" x14ac:dyDescent="0.2">
      <c r="C41" s="10"/>
      <c r="D41" s="10"/>
      <c r="E41" s="10"/>
      <c r="F41" s="10"/>
      <c r="G41" s="10"/>
      <c r="H41" s="10"/>
      <c r="I41" s="10"/>
    </row>
    <row r="42" spans="1:9" x14ac:dyDescent="0.2">
      <c r="B42" t="s">
        <v>1427</v>
      </c>
      <c r="C42" s="10">
        <f t="shared" ref="C42:G42" si="8">C30</f>
        <v>0</v>
      </c>
      <c r="D42" s="10">
        <f t="shared" si="8"/>
        <v>0</v>
      </c>
      <c r="E42" s="10">
        <f t="shared" si="8"/>
        <v>0</v>
      </c>
      <c r="F42" s="10">
        <f t="shared" si="8"/>
        <v>0</v>
      </c>
      <c r="G42" s="10">
        <f t="shared" si="8"/>
        <v>4145691.4099999997</v>
      </c>
      <c r="H42" s="10">
        <f t="shared" ref="H42:I42" si="9">H30</f>
        <v>8742096</v>
      </c>
      <c r="I42" s="10">
        <f t="shared" si="9"/>
        <v>2504798</v>
      </c>
    </row>
    <row r="43" spans="1:9" x14ac:dyDescent="0.2">
      <c r="C43" s="10"/>
      <c r="D43" s="10"/>
      <c r="E43" s="10"/>
      <c r="F43" s="10"/>
      <c r="G43" s="10"/>
      <c r="H43" s="10"/>
      <c r="I43" s="10"/>
    </row>
    <row r="44" spans="1:9" x14ac:dyDescent="0.2">
      <c r="B44" t="s">
        <v>1347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</row>
    <row r="45" spans="1:9" x14ac:dyDescent="0.2">
      <c r="C45" s="10"/>
      <c r="D45" s="10"/>
      <c r="E45" s="10"/>
      <c r="F45" s="10"/>
      <c r="G45" s="10"/>
      <c r="H45" s="10"/>
      <c r="I45" s="10"/>
    </row>
    <row r="46" spans="1:9" ht="13.5" thickBot="1" x14ac:dyDescent="0.25">
      <c r="B46" t="s">
        <v>1348</v>
      </c>
      <c r="C46" s="36">
        <f t="shared" ref="C46:G46" si="10">C38+C40-C42+C44</f>
        <v>0</v>
      </c>
      <c r="D46" s="36">
        <f t="shared" si="10"/>
        <v>0</v>
      </c>
      <c r="E46" s="36">
        <f t="shared" si="10"/>
        <v>0</v>
      </c>
      <c r="F46" s="36">
        <f t="shared" si="10"/>
        <v>4706.05</v>
      </c>
      <c r="G46" s="36">
        <f t="shared" si="10"/>
        <v>25864.980000000447</v>
      </c>
      <c r="H46" s="36">
        <f t="shared" ref="H46:I46" si="11">H38+H40-H42+H44</f>
        <v>-2102661.0199999996</v>
      </c>
      <c r="I46" s="36">
        <f t="shared" si="11"/>
        <v>-2102661.0199999996</v>
      </c>
    </row>
    <row r="47" spans="1:9" ht="13.5" thickTop="1" x14ac:dyDescent="0.2"/>
    <row r="140" spans="3:7" x14ac:dyDescent="0.2">
      <c r="C140" s="9"/>
      <c r="D140" s="9"/>
      <c r="E140" s="9"/>
      <c r="F140" s="9"/>
      <c r="G140" s="9"/>
    </row>
  </sheetData>
  <sortState ref="B12:B23">
    <sortCondition ref="B12:B23"/>
  </sortState>
  <pageMargins left="0.5" right="0.5" top="1" bottom="1" header="0.5" footer="0.5"/>
  <pageSetup scale="82" firstPageNumber="45" fitToHeight="0" orientation="portrait" useFirstPageNumber="1" r:id="rId1"/>
  <headerFooter alignWithMargins="0"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I217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3.285156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s="16" t="s">
        <v>1433</v>
      </c>
      <c r="B1" s="4" t="s">
        <v>653</v>
      </c>
      <c r="C1" s="1" t="s">
        <v>1433</v>
      </c>
      <c r="D1" s="1" t="s">
        <v>1433</v>
      </c>
      <c r="E1" s="1" t="s">
        <v>1433</v>
      </c>
      <c r="F1" s="1" t="s">
        <v>1433</v>
      </c>
      <c r="G1" s="1" t="s">
        <v>1433</v>
      </c>
    </row>
    <row r="2" spans="1:9" x14ac:dyDescent="0.2">
      <c r="A2" s="16"/>
      <c r="B2" s="4" t="s">
        <v>318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3" spans="1:9" ht="15" x14ac:dyDescent="0.25">
      <c r="A3" s="16"/>
      <c r="B3" s="4" t="s">
        <v>1433</v>
      </c>
      <c r="C3" s="1" t="s">
        <v>1433</v>
      </c>
      <c r="D3" s="1" t="s">
        <v>1433</v>
      </c>
      <c r="E3" s="121"/>
      <c r="F3" s="121"/>
      <c r="G3" s="121"/>
    </row>
    <row r="4" spans="1:9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198" t="s">
        <v>2476</v>
      </c>
      <c r="B5" s="4" t="s">
        <v>313</v>
      </c>
    </row>
    <row r="6" spans="1:9" x14ac:dyDescent="0.2">
      <c r="A6" s="16" t="s">
        <v>453</v>
      </c>
      <c r="B6" s="125" t="s">
        <v>2225</v>
      </c>
      <c r="C6" s="10">
        <v>184448.07</v>
      </c>
      <c r="D6" s="10">
        <v>209497.47</v>
      </c>
      <c r="E6" s="10">
        <v>191027.05</v>
      </c>
      <c r="F6" s="10">
        <v>186951.52</v>
      </c>
      <c r="G6" s="10">
        <v>232209.38</v>
      </c>
      <c r="H6" s="10">
        <v>180000</v>
      </c>
      <c r="I6" s="10">
        <v>200000</v>
      </c>
    </row>
    <row r="7" spans="1:9" x14ac:dyDescent="0.2">
      <c r="A7" s="16" t="s">
        <v>454</v>
      </c>
      <c r="B7" s="126" t="s">
        <v>2226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f>+H7</f>
        <v>0</v>
      </c>
    </row>
    <row r="8" spans="1:9" x14ac:dyDescent="0.2">
      <c r="A8" s="16" t="s">
        <v>455</v>
      </c>
      <c r="B8" s="125" t="s">
        <v>1761</v>
      </c>
      <c r="C8" s="12">
        <v>2123.52</v>
      </c>
      <c r="D8" s="12">
        <v>1949.64</v>
      </c>
      <c r="E8" s="12">
        <v>1468.87</v>
      </c>
      <c r="F8" s="12">
        <v>1084.03</v>
      </c>
      <c r="G8" s="12">
        <v>1203.8900000000001</v>
      </c>
      <c r="H8" s="10">
        <v>500</v>
      </c>
      <c r="I8" s="10">
        <v>1000</v>
      </c>
    </row>
    <row r="9" spans="1:9" ht="13.5" thickBot="1" x14ac:dyDescent="0.25">
      <c r="A9" s="16"/>
      <c r="B9" s="6" t="s">
        <v>137</v>
      </c>
      <c r="C9" s="135">
        <f t="shared" ref="C9:G9" si="0">SUM(C6:C8)</f>
        <v>186571.59</v>
      </c>
      <c r="D9" s="135">
        <f t="shared" si="0"/>
        <v>211447.11000000002</v>
      </c>
      <c r="E9" s="135">
        <f t="shared" si="0"/>
        <v>192495.91999999998</v>
      </c>
      <c r="F9" s="135">
        <f t="shared" si="0"/>
        <v>188035.55</v>
      </c>
      <c r="G9" s="135">
        <f t="shared" si="0"/>
        <v>233413.27000000002</v>
      </c>
      <c r="H9" s="135">
        <f t="shared" ref="H9:I9" si="1">SUM(H6:H8)</f>
        <v>180500</v>
      </c>
      <c r="I9" s="135">
        <f t="shared" si="1"/>
        <v>201000</v>
      </c>
    </row>
    <row r="10" spans="1:9" ht="13.5" thickTop="1" x14ac:dyDescent="0.2">
      <c r="A10" s="16"/>
      <c r="C10" s="10"/>
      <c r="D10" s="10"/>
      <c r="E10" s="10"/>
      <c r="F10" s="10"/>
      <c r="G10" s="10"/>
      <c r="H10" s="10"/>
      <c r="I10" s="10"/>
    </row>
    <row r="11" spans="1:9" x14ac:dyDescent="0.2">
      <c r="A11" s="198" t="s">
        <v>2477</v>
      </c>
      <c r="B11" s="4" t="s">
        <v>861</v>
      </c>
      <c r="C11" s="10"/>
      <c r="D11" s="10"/>
      <c r="E11" s="10"/>
      <c r="F11" s="10"/>
      <c r="G11" s="10"/>
      <c r="H11" s="10"/>
      <c r="I11" s="10"/>
    </row>
    <row r="12" spans="1:9" x14ac:dyDescent="0.2">
      <c r="A12" s="16" t="s">
        <v>277</v>
      </c>
      <c r="B12" s="125" t="s">
        <v>2227</v>
      </c>
      <c r="C12" s="12">
        <v>144100</v>
      </c>
      <c r="D12" s="12">
        <v>143997.76000000001</v>
      </c>
      <c r="E12" s="12">
        <v>81600</v>
      </c>
      <c r="F12" s="12">
        <v>173390.04</v>
      </c>
      <c r="G12" s="12">
        <v>308859.68</v>
      </c>
      <c r="H12" s="10">
        <v>250000</v>
      </c>
      <c r="I12" s="10">
        <v>130000</v>
      </c>
    </row>
    <row r="13" spans="1:9" ht="13.5" thickBot="1" x14ac:dyDescent="0.25">
      <c r="A13" s="16" t="s">
        <v>1433</v>
      </c>
      <c r="B13" s="6" t="s">
        <v>1341</v>
      </c>
      <c r="C13" s="36">
        <f t="shared" ref="C13:G13" si="2">SUM(C12)</f>
        <v>144100</v>
      </c>
      <c r="D13" s="36">
        <f t="shared" si="2"/>
        <v>143997.76000000001</v>
      </c>
      <c r="E13" s="36">
        <f t="shared" si="2"/>
        <v>81600</v>
      </c>
      <c r="F13" s="36">
        <f t="shared" si="2"/>
        <v>173390.04</v>
      </c>
      <c r="G13" s="36">
        <f t="shared" si="2"/>
        <v>308859.68</v>
      </c>
      <c r="H13" s="135">
        <f t="shared" ref="H13:I13" si="3">SUM(H12)</f>
        <v>250000</v>
      </c>
      <c r="I13" s="135">
        <f t="shared" si="3"/>
        <v>130000</v>
      </c>
    </row>
    <row r="14" spans="1:9" ht="13.5" thickTop="1" x14ac:dyDescent="0.2">
      <c r="C14" s="10"/>
      <c r="D14" s="10"/>
      <c r="E14" s="10"/>
      <c r="F14" s="10"/>
      <c r="G14" s="10"/>
      <c r="H14" s="10"/>
      <c r="I14" s="10"/>
    </row>
    <row r="15" spans="1:9" x14ac:dyDescent="0.2">
      <c r="A15" s="16"/>
      <c r="B15" s="4" t="s">
        <v>653</v>
      </c>
      <c r="C15" s="10"/>
      <c r="D15" s="10"/>
      <c r="E15" s="10"/>
      <c r="F15" s="10"/>
      <c r="G15" s="10"/>
      <c r="H15" s="10"/>
      <c r="I15" s="10"/>
    </row>
    <row r="16" spans="1:9" x14ac:dyDescent="0.2">
      <c r="B16" s="4" t="s">
        <v>278</v>
      </c>
      <c r="C16" s="10"/>
      <c r="D16" s="10"/>
      <c r="E16" s="10"/>
      <c r="F16" s="10"/>
      <c r="G16" s="10"/>
      <c r="H16" s="10"/>
      <c r="I16" s="10"/>
    </row>
    <row r="17" spans="1:9" x14ac:dyDescent="0.2">
      <c r="B17" s="4" t="s">
        <v>1343</v>
      </c>
      <c r="C17" s="10"/>
      <c r="D17" s="10"/>
      <c r="E17" s="10"/>
      <c r="F17" s="10"/>
      <c r="G17" s="10"/>
      <c r="H17" s="10"/>
      <c r="I17" s="10"/>
    </row>
    <row r="18" spans="1:9" x14ac:dyDescent="0.2">
      <c r="C18" s="129" t="str">
        <f t="shared" ref="C18:G18" si="4">+C4</f>
        <v>2018 ACTUAL</v>
      </c>
      <c r="D18" s="129" t="str">
        <f t="shared" si="4"/>
        <v>2019 ACTUAL</v>
      </c>
      <c r="E18" s="129" t="str">
        <f t="shared" si="4"/>
        <v>2020 ACTUAL</v>
      </c>
      <c r="F18" s="129" t="str">
        <f t="shared" si="4"/>
        <v>2021 ACTUAL</v>
      </c>
      <c r="G18" s="129" t="str">
        <f t="shared" si="4"/>
        <v>2022 ACTUAL</v>
      </c>
      <c r="H18" s="129" t="str">
        <f t="shared" ref="H18:I18" si="5">+H4</f>
        <v xml:space="preserve">2023 BUDGET </v>
      </c>
      <c r="I18" s="129" t="str">
        <f t="shared" si="5"/>
        <v xml:space="preserve">2024 BUDGET </v>
      </c>
    </row>
    <row r="19" spans="1:9" x14ac:dyDescent="0.2">
      <c r="C19" s="112"/>
      <c r="D19" s="112"/>
      <c r="E19" s="112"/>
      <c r="F19" s="112"/>
      <c r="G19" s="112"/>
      <c r="H19" s="112"/>
      <c r="I19" s="112"/>
    </row>
    <row r="20" spans="1:9" x14ac:dyDescent="0.2">
      <c r="B20" t="s">
        <v>1344</v>
      </c>
      <c r="C20" s="10">
        <v>116189.7</v>
      </c>
      <c r="D20" s="10">
        <f t="shared" ref="D20:I20" si="6">C28</f>
        <v>158661.28999999998</v>
      </c>
      <c r="E20" s="10">
        <f t="shared" si="6"/>
        <v>226110.64</v>
      </c>
      <c r="F20" s="10">
        <f t="shared" si="6"/>
        <v>337006.56</v>
      </c>
      <c r="G20" s="10">
        <f t="shared" si="6"/>
        <v>351652.06999999995</v>
      </c>
      <c r="H20" s="10">
        <f t="shared" si="6"/>
        <v>276205.65999999997</v>
      </c>
      <c r="I20" s="10">
        <f t="shared" si="6"/>
        <v>206705.65999999997</v>
      </c>
    </row>
    <row r="21" spans="1:9" x14ac:dyDescent="0.2">
      <c r="C21" s="10"/>
      <c r="D21" s="10"/>
      <c r="E21" s="10"/>
      <c r="F21" s="10"/>
      <c r="G21" s="10"/>
      <c r="H21" s="10"/>
      <c r="I21" s="10"/>
    </row>
    <row r="22" spans="1:9" x14ac:dyDescent="0.2">
      <c r="B22" t="s">
        <v>1345</v>
      </c>
      <c r="C22" s="10">
        <f t="shared" ref="C22:G22" si="7">C9</f>
        <v>186571.59</v>
      </c>
      <c r="D22" s="10">
        <f t="shared" si="7"/>
        <v>211447.11000000002</v>
      </c>
      <c r="E22" s="10">
        <f t="shared" si="7"/>
        <v>192495.91999999998</v>
      </c>
      <c r="F22" s="10">
        <f t="shared" si="7"/>
        <v>188035.55</v>
      </c>
      <c r="G22" s="10">
        <f t="shared" si="7"/>
        <v>233413.27000000002</v>
      </c>
      <c r="H22" s="10">
        <f t="shared" ref="H22:I22" si="8">H9</f>
        <v>180500</v>
      </c>
      <c r="I22" s="10">
        <f t="shared" si="8"/>
        <v>201000</v>
      </c>
    </row>
    <row r="23" spans="1:9" x14ac:dyDescent="0.2">
      <c r="C23" s="10"/>
      <c r="D23" s="10"/>
      <c r="E23" s="10"/>
      <c r="F23" s="10"/>
      <c r="G23" s="10"/>
      <c r="H23" s="10"/>
      <c r="I23" s="10"/>
    </row>
    <row r="24" spans="1:9" x14ac:dyDescent="0.2">
      <c r="A24" t="s">
        <v>1433</v>
      </c>
      <c r="B24" t="s">
        <v>1346</v>
      </c>
      <c r="C24" s="10">
        <f t="shared" ref="C24:G24" si="9">C13</f>
        <v>144100</v>
      </c>
      <c r="D24" s="10">
        <f t="shared" si="9"/>
        <v>143997.76000000001</v>
      </c>
      <c r="E24" s="10">
        <f t="shared" si="9"/>
        <v>81600</v>
      </c>
      <c r="F24" s="10">
        <f t="shared" si="9"/>
        <v>173390.04</v>
      </c>
      <c r="G24" s="10">
        <f t="shared" si="9"/>
        <v>308859.68</v>
      </c>
      <c r="H24" s="10">
        <f t="shared" ref="H24:I24" si="10">H13</f>
        <v>250000</v>
      </c>
      <c r="I24" s="10">
        <f t="shared" si="10"/>
        <v>130000</v>
      </c>
    </row>
    <row r="25" spans="1:9" x14ac:dyDescent="0.2">
      <c r="C25" s="10"/>
      <c r="D25" s="10"/>
      <c r="E25" s="10"/>
      <c r="F25" s="10"/>
      <c r="G25" s="10"/>
      <c r="H25" s="10"/>
      <c r="I25" s="10"/>
    </row>
    <row r="26" spans="1:9" x14ac:dyDescent="0.2">
      <c r="A26" t="s">
        <v>1433</v>
      </c>
      <c r="B26" t="s">
        <v>1347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x14ac:dyDescent="0.2">
      <c r="C27" s="10"/>
      <c r="D27" s="10"/>
      <c r="E27" s="10"/>
      <c r="F27" s="10"/>
      <c r="G27" s="10"/>
      <c r="H27" s="10"/>
      <c r="I27" s="10"/>
    </row>
    <row r="28" spans="1:9" ht="13.5" thickBot="1" x14ac:dyDescent="0.25">
      <c r="B28" t="s">
        <v>1348</v>
      </c>
      <c r="C28" s="36">
        <f t="shared" ref="C28:G28" si="11">C20+C22-C24+C26</f>
        <v>158661.28999999998</v>
      </c>
      <c r="D28" s="36">
        <f t="shared" si="11"/>
        <v>226110.64</v>
      </c>
      <c r="E28" s="36">
        <f t="shared" si="11"/>
        <v>337006.56</v>
      </c>
      <c r="F28" s="36">
        <f t="shared" si="11"/>
        <v>351652.06999999995</v>
      </c>
      <c r="G28" s="36">
        <f t="shared" si="11"/>
        <v>276205.65999999997</v>
      </c>
      <c r="H28" s="36">
        <f t="shared" ref="H28:I28" si="12">H20+H22-H24+H26</f>
        <v>206705.65999999997</v>
      </c>
      <c r="I28" s="36">
        <f t="shared" si="12"/>
        <v>277705.65999999997</v>
      </c>
    </row>
    <row r="29" spans="1:9" ht="13.5" thickTop="1" x14ac:dyDescent="0.2">
      <c r="C29" s="10"/>
      <c r="D29" s="10"/>
      <c r="E29" s="10"/>
      <c r="F29" s="10"/>
      <c r="G29" s="10"/>
      <c r="H29" s="10"/>
      <c r="I29" s="10"/>
    </row>
    <row r="30" spans="1:9" x14ac:dyDescent="0.2">
      <c r="A30" s="16"/>
      <c r="C30" s="10"/>
      <c r="D30" s="10"/>
      <c r="E30" s="10"/>
      <c r="F30" s="10"/>
      <c r="G30" s="10"/>
      <c r="H30" s="10"/>
      <c r="I30" s="10"/>
    </row>
    <row r="31" spans="1:9" x14ac:dyDescent="0.2">
      <c r="A31" s="16"/>
      <c r="C31" s="10"/>
      <c r="D31" s="10"/>
      <c r="E31" s="10"/>
      <c r="F31" s="10"/>
      <c r="G31" s="10"/>
      <c r="H31" s="10"/>
      <c r="I31" s="10"/>
    </row>
    <row r="32" spans="1:9" x14ac:dyDescent="0.2">
      <c r="A32" s="16"/>
      <c r="B32" s="4" t="s">
        <v>653</v>
      </c>
      <c r="C32" s="112" t="s">
        <v>1433</v>
      </c>
      <c r="D32" s="112" t="s">
        <v>1433</v>
      </c>
      <c r="E32" s="112" t="s">
        <v>1433</v>
      </c>
      <c r="F32" s="112" t="s">
        <v>1433</v>
      </c>
      <c r="G32" s="112" t="s">
        <v>1433</v>
      </c>
      <c r="H32" s="112" t="s">
        <v>1433</v>
      </c>
      <c r="I32" s="112" t="s">
        <v>1433</v>
      </c>
    </row>
    <row r="33" spans="1:9" x14ac:dyDescent="0.2">
      <c r="A33" s="16"/>
      <c r="B33" s="4" t="s">
        <v>279</v>
      </c>
      <c r="C33" s="112" t="s">
        <v>1433</v>
      </c>
      <c r="D33" s="112" t="s">
        <v>1433</v>
      </c>
      <c r="E33" s="112" t="s">
        <v>1433</v>
      </c>
      <c r="F33" s="112" t="s">
        <v>1433</v>
      </c>
      <c r="G33" s="112" t="s">
        <v>1433</v>
      </c>
      <c r="H33" s="112" t="s">
        <v>1433</v>
      </c>
      <c r="I33" s="112" t="s">
        <v>1433</v>
      </c>
    </row>
    <row r="34" spans="1:9" ht="15" x14ac:dyDescent="0.25">
      <c r="A34" s="16"/>
      <c r="B34" s="4" t="s">
        <v>1433</v>
      </c>
      <c r="C34" s="112" t="s">
        <v>1433</v>
      </c>
      <c r="D34" s="112" t="s">
        <v>1433</v>
      </c>
      <c r="E34" s="190"/>
      <c r="F34" s="190"/>
      <c r="G34" s="190"/>
      <c r="H34" s="190"/>
      <c r="I34" s="190"/>
    </row>
    <row r="35" spans="1:9" x14ac:dyDescent="0.2">
      <c r="A35" s="16"/>
      <c r="C35" s="129" t="str">
        <f>+$C$4</f>
        <v>2018 ACTUAL</v>
      </c>
      <c r="D35" s="129" t="str">
        <f>+$D$4</f>
        <v>2019 ACTUAL</v>
      </c>
      <c r="E35" s="129" t="str">
        <f>+E$4</f>
        <v>2020 ACTUAL</v>
      </c>
      <c r="F35" s="129" t="str">
        <f>+F$4</f>
        <v>2021 ACTUAL</v>
      </c>
      <c r="G35" s="129" t="str">
        <f>+G$4</f>
        <v>2022 ACTUAL</v>
      </c>
      <c r="H35" s="129" t="str">
        <f>+H$4</f>
        <v xml:space="preserve">2023 BUDGET </v>
      </c>
      <c r="I35" s="129" t="str">
        <f>+I$4</f>
        <v xml:space="preserve">2024 BUDGET </v>
      </c>
    </row>
    <row r="36" spans="1:9" x14ac:dyDescent="0.2">
      <c r="A36" s="198" t="s">
        <v>2478</v>
      </c>
      <c r="B36" s="4" t="s">
        <v>313</v>
      </c>
      <c r="C36" s="10"/>
      <c r="D36" s="10"/>
      <c r="E36" s="10"/>
      <c r="F36" s="10"/>
      <c r="G36" s="10"/>
      <c r="H36" s="10"/>
      <c r="I36" s="10"/>
    </row>
    <row r="37" spans="1:9" x14ac:dyDescent="0.2">
      <c r="A37" s="16" t="s">
        <v>472</v>
      </c>
      <c r="B37" s="125" t="s">
        <v>660</v>
      </c>
      <c r="C37" s="10">
        <v>5948.54</v>
      </c>
      <c r="D37" s="10">
        <v>9470.24</v>
      </c>
      <c r="E37" s="10">
        <v>6801.65</v>
      </c>
      <c r="F37" s="10">
        <v>8648.65</v>
      </c>
      <c r="G37" s="10">
        <v>6436.07</v>
      </c>
      <c r="H37" s="10">
        <v>7000</v>
      </c>
      <c r="I37" s="10">
        <v>6000</v>
      </c>
    </row>
    <row r="38" spans="1:9" x14ac:dyDescent="0.2">
      <c r="A38" s="16" t="s">
        <v>473</v>
      </c>
      <c r="B38" s="125" t="s">
        <v>663</v>
      </c>
      <c r="C38" s="10">
        <v>11512.82</v>
      </c>
      <c r="D38" s="10">
        <v>11078.67</v>
      </c>
      <c r="E38" s="10">
        <v>8350.66</v>
      </c>
      <c r="F38" s="10">
        <v>9460.59</v>
      </c>
      <c r="G38" s="10">
        <v>2878.32</v>
      </c>
      <c r="H38" s="10">
        <v>8000</v>
      </c>
      <c r="I38" s="10">
        <v>3000</v>
      </c>
    </row>
    <row r="39" spans="1:9" x14ac:dyDescent="0.2">
      <c r="A39" s="16" t="s">
        <v>474</v>
      </c>
      <c r="B39" s="125" t="s">
        <v>1761</v>
      </c>
      <c r="C39" s="12">
        <v>3140.98</v>
      </c>
      <c r="D39" s="12">
        <v>2415.19</v>
      </c>
      <c r="E39" s="12">
        <v>1339.79</v>
      </c>
      <c r="F39" s="12">
        <v>497.11</v>
      </c>
      <c r="G39" s="12">
        <v>1160.03</v>
      </c>
      <c r="H39" s="10">
        <v>250</v>
      </c>
      <c r="I39" s="10">
        <f t="shared" ref="I39" si="13">+H39</f>
        <v>250</v>
      </c>
    </row>
    <row r="40" spans="1:9" ht="13.5" thickBot="1" x14ac:dyDescent="0.25">
      <c r="A40" s="16"/>
      <c r="B40" s="6" t="s">
        <v>137</v>
      </c>
      <c r="C40" s="135">
        <f t="shared" ref="C40:G40" si="14">SUM(C37:C39)</f>
        <v>20602.34</v>
      </c>
      <c r="D40" s="135">
        <f t="shared" si="14"/>
        <v>22964.1</v>
      </c>
      <c r="E40" s="135">
        <f t="shared" si="14"/>
        <v>16492.099999999999</v>
      </c>
      <c r="F40" s="135">
        <f t="shared" si="14"/>
        <v>18606.349999999999</v>
      </c>
      <c r="G40" s="135">
        <f t="shared" si="14"/>
        <v>10474.42</v>
      </c>
      <c r="H40" s="135">
        <f t="shared" ref="H40:I40" si="15">SUM(H37:H39)</f>
        <v>15250</v>
      </c>
      <c r="I40" s="135">
        <f t="shared" si="15"/>
        <v>9250</v>
      </c>
    </row>
    <row r="41" spans="1:9" ht="13.5" thickTop="1" x14ac:dyDescent="0.2">
      <c r="A41" s="16"/>
      <c r="C41" s="10"/>
      <c r="D41" s="10"/>
      <c r="E41" s="10"/>
      <c r="F41" s="10"/>
      <c r="G41" s="10"/>
      <c r="H41" s="10"/>
      <c r="I41" s="10"/>
    </row>
    <row r="42" spans="1:9" x14ac:dyDescent="0.2">
      <c r="A42" s="198" t="s">
        <v>2479</v>
      </c>
      <c r="B42" s="4" t="s">
        <v>861</v>
      </c>
      <c r="C42" s="10"/>
      <c r="D42" s="10"/>
      <c r="E42" s="10"/>
      <c r="F42" s="10"/>
      <c r="G42" s="10"/>
      <c r="H42" s="10"/>
      <c r="I42" s="10"/>
    </row>
    <row r="43" spans="1:9" x14ac:dyDescent="0.2">
      <c r="A43" s="16" t="s">
        <v>280</v>
      </c>
      <c r="B43" s="125" t="s">
        <v>2227</v>
      </c>
      <c r="C43" s="12">
        <v>26587.86</v>
      </c>
      <c r="D43" s="12">
        <v>2250</v>
      </c>
      <c r="E43" s="12">
        <v>2250</v>
      </c>
      <c r="F43" s="12">
        <v>3650</v>
      </c>
      <c r="G43" s="12">
        <v>86288</v>
      </c>
      <c r="H43" s="10">
        <v>15000</v>
      </c>
      <c r="I43" s="10">
        <v>5000</v>
      </c>
    </row>
    <row r="44" spans="1:9" ht="13.5" thickBot="1" x14ac:dyDescent="0.25">
      <c r="A44" s="16"/>
      <c r="B44" s="6" t="s">
        <v>1341</v>
      </c>
      <c r="C44" s="36">
        <f t="shared" ref="C44:G44" si="16">SUM(C43)</f>
        <v>26587.86</v>
      </c>
      <c r="D44" s="36">
        <f t="shared" si="16"/>
        <v>2250</v>
      </c>
      <c r="E44" s="36">
        <f t="shared" si="16"/>
        <v>2250</v>
      </c>
      <c r="F44" s="36">
        <f t="shared" si="16"/>
        <v>3650</v>
      </c>
      <c r="G44" s="36">
        <f t="shared" si="16"/>
        <v>86288</v>
      </c>
      <c r="H44" s="135">
        <f t="shared" ref="H44:I44" si="17">SUM(H43)</f>
        <v>15000</v>
      </c>
      <c r="I44" s="135">
        <f t="shared" si="17"/>
        <v>5000</v>
      </c>
    </row>
    <row r="45" spans="1:9" ht="13.5" thickTop="1" x14ac:dyDescent="0.2">
      <c r="C45" s="10"/>
      <c r="D45" s="10"/>
      <c r="E45" s="10"/>
      <c r="F45" s="10"/>
      <c r="G45" s="10"/>
      <c r="H45" s="10"/>
      <c r="I45" s="10"/>
    </row>
    <row r="46" spans="1:9" x14ac:dyDescent="0.2">
      <c r="A46" s="16"/>
      <c r="B46" s="4" t="s">
        <v>653</v>
      </c>
      <c r="C46" s="10"/>
      <c r="D46" s="10"/>
      <c r="E46" s="10"/>
      <c r="F46" s="10"/>
      <c r="G46" s="10"/>
      <c r="H46" s="10"/>
      <c r="I46" s="10"/>
    </row>
    <row r="47" spans="1:9" x14ac:dyDescent="0.2">
      <c r="A47" s="16"/>
      <c r="B47" s="4" t="s">
        <v>279</v>
      </c>
      <c r="C47" s="10"/>
      <c r="D47" s="10"/>
      <c r="E47" s="10"/>
      <c r="F47" s="10"/>
      <c r="G47" s="10"/>
      <c r="H47" s="10"/>
      <c r="I47" s="10"/>
    </row>
    <row r="48" spans="1:9" x14ac:dyDescent="0.2">
      <c r="A48" s="16"/>
      <c r="B48" s="4" t="s">
        <v>1343</v>
      </c>
      <c r="C48" s="10"/>
      <c r="D48" s="10"/>
      <c r="E48" s="10"/>
      <c r="F48" s="10"/>
      <c r="G48" s="10"/>
      <c r="H48" s="10"/>
      <c r="I48" s="10"/>
    </row>
    <row r="49" spans="1:9" x14ac:dyDescent="0.2">
      <c r="A49" s="16"/>
      <c r="C49" s="129" t="str">
        <f>+$C$4</f>
        <v>2018 ACTUAL</v>
      </c>
      <c r="D49" s="129" t="str">
        <f>+$D$4</f>
        <v>2019 ACTUAL</v>
      </c>
      <c r="E49" s="129" t="str">
        <f>+E$4</f>
        <v>2020 ACTUAL</v>
      </c>
      <c r="F49" s="129" t="str">
        <f>+F$4</f>
        <v>2021 ACTUAL</v>
      </c>
      <c r="G49" s="129" t="str">
        <f>+G$4</f>
        <v>2022 ACTUAL</v>
      </c>
      <c r="H49" s="129" t="str">
        <f>+H$4</f>
        <v xml:space="preserve">2023 BUDGET </v>
      </c>
      <c r="I49" s="129" t="str">
        <f>+I$4</f>
        <v xml:space="preserve">2024 BUDGET </v>
      </c>
    </row>
    <row r="50" spans="1:9" x14ac:dyDescent="0.2">
      <c r="A50" s="16"/>
      <c r="C50" s="112"/>
      <c r="D50" s="112"/>
      <c r="E50" s="112"/>
      <c r="F50" s="112"/>
      <c r="G50" s="112"/>
      <c r="H50" s="112"/>
      <c r="I50" s="112"/>
    </row>
    <row r="51" spans="1:9" x14ac:dyDescent="0.2">
      <c r="A51" s="16"/>
      <c r="B51" t="s">
        <v>1344</v>
      </c>
      <c r="C51" s="10">
        <v>193419.96</v>
      </c>
      <c r="D51" s="10">
        <f t="shared" ref="D51:I51" si="18">C59</f>
        <v>187434.44</v>
      </c>
      <c r="E51" s="10">
        <f t="shared" si="18"/>
        <v>208148.54</v>
      </c>
      <c r="F51" s="10">
        <f t="shared" si="18"/>
        <v>222390.64</v>
      </c>
      <c r="G51" s="10">
        <f t="shared" si="18"/>
        <v>237346.99000000002</v>
      </c>
      <c r="H51" s="10">
        <f t="shared" si="18"/>
        <v>161533.41000000003</v>
      </c>
      <c r="I51" s="10">
        <f t="shared" si="18"/>
        <v>161783.41000000003</v>
      </c>
    </row>
    <row r="52" spans="1:9" x14ac:dyDescent="0.2">
      <c r="C52" s="10"/>
      <c r="D52" s="10"/>
      <c r="E52" s="10"/>
      <c r="F52" s="10"/>
      <c r="G52" s="10"/>
      <c r="H52" s="10"/>
      <c r="I52" s="10"/>
    </row>
    <row r="53" spans="1:9" x14ac:dyDescent="0.2">
      <c r="A53" s="16"/>
      <c r="B53" t="s">
        <v>1345</v>
      </c>
      <c r="C53" s="10">
        <f t="shared" ref="C53:I53" si="19">C40</f>
        <v>20602.34</v>
      </c>
      <c r="D53" s="10">
        <f t="shared" si="19"/>
        <v>22964.1</v>
      </c>
      <c r="E53" s="10">
        <f t="shared" si="19"/>
        <v>16492.099999999999</v>
      </c>
      <c r="F53" s="10">
        <f t="shared" si="19"/>
        <v>18606.349999999999</v>
      </c>
      <c r="G53" s="10">
        <f t="shared" si="19"/>
        <v>10474.42</v>
      </c>
      <c r="H53" s="10">
        <f t="shared" si="19"/>
        <v>15250</v>
      </c>
      <c r="I53" s="10">
        <f t="shared" si="19"/>
        <v>9250</v>
      </c>
    </row>
    <row r="54" spans="1:9" x14ac:dyDescent="0.2">
      <c r="A54" s="16"/>
      <c r="C54" s="10"/>
      <c r="D54" s="10"/>
      <c r="E54" s="10"/>
      <c r="F54" s="10"/>
      <c r="G54" s="10"/>
      <c r="H54" s="10"/>
      <c r="I54" s="10"/>
    </row>
    <row r="55" spans="1:9" x14ac:dyDescent="0.2">
      <c r="A55" s="16"/>
      <c r="B55" t="s">
        <v>1346</v>
      </c>
      <c r="C55" s="10">
        <f t="shared" ref="C55:G55" si="20">C44</f>
        <v>26587.86</v>
      </c>
      <c r="D55" s="10">
        <f t="shared" si="20"/>
        <v>2250</v>
      </c>
      <c r="E55" s="10">
        <f t="shared" si="20"/>
        <v>2250</v>
      </c>
      <c r="F55" s="10">
        <f t="shared" si="20"/>
        <v>3650</v>
      </c>
      <c r="G55" s="10">
        <f t="shared" si="20"/>
        <v>86288</v>
      </c>
      <c r="H55" s="10">
        <f t="shared" ref="H55:I55" si="21">H44</f>
        <v>15000</v>
      </c>
      <c r="I55" s="10">
        <f t="shared" si="21"/>
        <v>5000</v>
      </c>
    </row>
    <row r="56" spans="1:9" x14ac:dyDescent="0.2">
      <c r="A56" s="16"/>
      <c r="C56" s="10"/>
      <c r="D56" s="10"/>
      <c r="E56" s="10"/>
      <c r="F56" s="10"/>
      <c r="G56" s="10"/>
      <c r="H56" s="10"/>
      <c r="I56" s="10"/>
    </row>
    <row r="57" spans="1:9" x14ac:dyDescent="0.2">
      <c r="A57" s="16"/>
      <c r="B57" t="s">
        <v>1347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</row>
    <row r="58" spans="1:9" x14ac:dyDescent="0.2">
      <c r="C58" s="10"/>
      <c r="D58" s="10"/>
      <c r="E58" s="10"/>
      <c r="F58" s="10"/>
      <c r="G58" s="10"/>
      <c r="H58" s="10"/>
      <c r="I58" s="10"/>
    </row>
    <row r="59" spans="1:9" ht="13.5" thickBot="1" x14ac:dyDescent="0.25">
      <c r="B59" t="s">
        <v>1348</v>
      </c>
      <c r="C59" s="36">
        <f t="shared" ref="C59:G59" si="22">C51+C53-C55+C57</f>
        <v>187434.44</v>
      </c>
      <c r="D59" s="36">
        <f t="shared" si="22"/>
        <v>208148.54</v>
      </c>
      <c r="E59" s="36">
        <f t="shared" si="22"/>
        <v>222390.64</v>
      </c>
      <c r="F59" s="36">
        <f t="shared" si="22"/>
        <v>237346.99000000002</v>
      </c>
      <c r="G59" s="36">
        <f t="shared" si="22"/>
        <v>161533.41000000003</v>
      </c>
      <c r="H59" s="36">
        <f t="shared" ref="H59:I59" si="23">H51+H53-H55+H57</f>
        <v>161783.41000000003</v>
      </c>
      <c r="I59" s="36">
        <f t="shared" si="23"/>
        <v>166033.41000000003</v>
      </c>
    </row>
    <row r="60" spans="1:9" ht="13.5" thickTop="1" x14ac:dyDescent="0.2">
      <c r="C60" s="10"/>
      <c r="D60" s="10"/>
      <c r="E60" s="10"/>
      <c r="F60" s="10"/>
      <c r="G60" s="10"/>
      <c r="H60" s="10"/>
      <c r="I60" s="10"/>
    </row>
    <row r="61" spans="1:9" x14ac:dyDescent="0.2">
      <c r="C61" s="10"/>
      <c r="D61" s="10"/>
      <c r="E61" s="10"/>
      <c r="F61" s="10"/>
      <c r="G61" s="10"/>
      <c r="H61" s="10"/>
      <c r="I61" s="10"/>
    </row>
    <row r="62" spans="1:9" x14ac:dyDescent="0.2">
      <c r="C62" s="10"/>
      <c r="D62" s="10"/>
      <c r="E62" s="10"/>
      <c r="F62" s="10"/>
      <c r="G62" s="10"/>
      <c r="H62" s="10"/>
      <c r="I62" s="10"/>
    </row>
    <row r="63" spans="1:9" x14ac:dyDescent="0.2">
      <c r="A63" s="16"/>
      <c r="B63" s="4" t="s">
        <v>653</v>
      </c>
      <c r="C63" s="112" t="s">
        <v>1433</v>
      </c>
      <c r="D63" s="112" t="s">
        <v>1433</v>
      </c>
      <c r="E63" s="112" t="s">
        <v>1433</v>
      </c>
      <c r="F63" s="112" t="s">
        <v>1433</v>
      </c>
      <c r="G63" s="112" t="s">
        <v>1433</v>
      </c>
      <c r="H63" s="112" t="s">
        <v>1433</v>
      </c>
      <c r="I63" s="112" t="s">
        <v>1433</v>
      </c>
    </row>
    <row r="64" spans="1:9" x14ac:dyDescent="0.2">
      <c r="A64" s="16"/>
      <c r="B64" s="4" t="s">
        <v>317</v>
      </c>
      <c r="C64" s="112" t="s">
        <v>1433</v>
      </c>
      <c r="D64" s="112" t="s">
        <v>1433</v>
      </c>
      <c r="E64" s="112" t="s">
        <v>1433</v>
      </c>
      <c r="F64" s="112" t="s">
        <v>1433</v>
      </c>
      <c r="G64" s="112" t="s">
        <v>1433</v>
      </c>
      <c r="H64" s="112" t="s">
        <v>1433</v>
      </c>
      <c r="I64" s="112" t="s">
        <v>1433</v>
      </c>
    </row>
    <row r="65" spans="1:9" ht="15" x14ac:dyDescent="0.25">
      <c r="A65" s="16"/>
      <c r="B65" s="4" t="s">
        <v>1433</v>
      </c>
      <c r="C65" s="112" t="s">
        <v>1433</v>
      </c>
      <c r="D65" s="112" t="s">
        <v>1433</v>
      </c>
      <c r="E65" s="190"/>
      <c r="F65" s="190"/>
      <c r="G65" s="190"/>
      <c r="H65" s="190"/>
      <c r="I65" s="190"/>
    </row>
    <row r="66" spans="1:9" x14ac:dyDescent="0.2">
      <c r="A66" s="16"/>
      <c r="C66" s="129" t="str">
        <f>+$C$4</f>
        <v>2018 ACTUAL</v>
      </c>
      <c r="D66" s="129" t="str">
        <f>+$D$4</f>
        <v>2019 ACTUAL</v>
      </c>
      <c r="E66" s="129" t="str">
        <f>+E$4</f>
        <v>2020 ACTUAL</v>
      </c>
      <c r="F66" s="129" t="str">
        <f>+F$4</f>
        <v>2021 ACTUAL</v>
      </c>
      <c r="G66" s="129" t="str">
        <f>+G$4</f>
        <v>2022 ACTUAL</v>
      </c>
      <c r="H66" s="129" t="str">
        <f>+H$4</f>
        <v xml:space="preserve">2023 BUDGET </v>
      </c>
      <c r="I66" s="129" t="str">
        <f>+I$4</f>
        <v xml:space="preserve">2024 BUDGET </v>
      </c>
    </row>
    <row r="67" spans="1:9" x14ac:dyDescent="0.2">
      <c r="A67" s="206" t="s">
        <v>2480</v>
      </c>
      <c r="B67" s="4" t="s">
        <v>313</v>
      </c>
      <c r="C67" s="10"/>
      <c r="D67" s="10"/>
      <c r="E67" s="10"/>
      <c r="F67" s="10"/>
      <c r="G67" s="10"/>
      <c r="H67" s="10"/>
      <c r="I67" s="10"/>
    </row>
    <row r="68" spans="1:9" x14ac:dyDescent="0.2">
      <c r="A68" s="16" t="s">
        <v>470</v>
      </c>
      <c r="B68" s="125" t="s">
        <v>2228</v>
      </c>
      <c r="C68" s="10">
        <v>134315</v>
      </c>
      <c r="D68" s="10">
        <v>142485</v>
      </c>
      <c r="E68" s="10">
        <v>141295</v>
      </c>
      <c r="F68" s="10">
        <v>155795</v>
      </c>
      <c r="G68" s="10">
        <v>167930</v>
      </c>
      <c r="H68" s="10">
        <v>130000</v>
      </c>
      <c r="I68" s="10">
        <v>160000</v>
      </c>
    </row>
    <row r="69" spans="1:9" hidden="1" x14ac:dyDescent="0.2">
      <c r="A69" s="16" t="s">
        <v>419</v>
      </c>
      <c r="B69" s="125" t="s">
        <v>1032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</row>
    <row r="70" spans="1:9" x14ac:dyDescent="0.2">
      <c r="A70" s="16" t="s">
        <v>471</v>
      </c>
      <c r="B70" s="125" t="s">
        <v>1761</v>
      </c>
      <c r="C70" s="12">
        <v>2577.5500000000002</v>
      </c>
      <c r="D70" s="12">
        <v>5114.37</v>
      </c>
      <c r="E70" s="12">
        <v>2967.88</v>
      </c>
      <c r="F70" s="12">
        <v>1001.53</v>
      </c>
      <c r="G70" s="12">
        <v>1601.55</v>
      </c>
      <c r="H70" s="10">
        <v>250</v>
      </c>
      <c r="I70" s="10">
        <v>500</v>
      </c>
    </row>
    <row r="71" spans="1:9" ht="13.5" thickBot="1" x14ac:dyDescent="0.25">
      <c r="A71" s="16"/>
      <c r="B71" s="6" t="s">
        <v>137</v>
      </c>
      <c r="C71" s="135">
        <f t="shared" ref="C71:G71" si="24">SUM(C68:C70)</f>
        <v>136892.54999999999</v>
      </c>
      <c r="D71" s="135">
        <f t="shared" si="24"/>
        <v>147599.37</v>
      </c>
      <c r="E71" s="135">
        <f t="shared" si="24"/>
        <v>144262.88</v>
      </c>
      <c r="F71" s="135">
        <f t="shared" si="24"/>
        <v>156796.53</v>
      </c>
      <c r="G71" s="135">
        <f t="shared" si="24"/>
        <v>169531.55</v>
      </c>
      <c r="H71" s="135">
        <f t="shared" ref="H71:I71" si="25">SUM(H68:H70)</f>
        <v>130250</v>
      </c>
      <c r="I71" s="135">
        <f t="shared" si="25"/>
        <v>160500</v>
      </c>
    </row>
    <row r="72" spans="1:9" ht="13.5" thickTop="1" x14ac:dyDescent="0.2">
      <c r="A72" s="16"/>
      <c r="C72" s="10"/>
      <c r="D72" s="10"/>
      <c r="E72" s="10"/>
      <c r="F72" s="10"/>
      <c r="G72" s="10"/>
      <c r="H72" s="10"/>
      <c r="I72" s="10"/>
    </row>
    <row r="73" spans="1:9" x14ac:dyDescent="0.2">
      <c r="A73" s="198" t="s">
        <v>2481</v>
      </c>
      <c r="B73" s="4" t="s">
        <v>861</v>
      </c>
      <c r="C73" s="10"/>
      <c r="D73" s="10"/>
      <c r="E73" s="10"/>
      <c r="F73" s="10"/>
      <c r="G73" s="10"/>
      <c r="H73" s="10"/>
      <c r="I73" s="10"/>
    </row>
    <row r="74" spans="1:9" x14ac:dyDescent="0.2">
      <c r="A74" s="233" t="s">
        <v>2624</v>
      </c>
      <c r="B74" s="126" t="s">
        <v>1888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22297</v>
      </c>
    </row>
    <row r="75" spans="1:9" x14ac:dyDescent="0.2">
      <c r="A75" s="233" t="s">
        <v>2625</v>
      </c>
      <c r="B75" s="126" t="s">
        <v>1891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1706</v>
      </c>
    </row>
    <row r="76" spans="1:9" x14ac:dyDescent="0.2">
      <c r="A76" s="233" t="s">
        <v>2626</v>
      </c>
      <c r="B76" s="126" t="s">
        <v>1892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2776</v>
      </c>
    </row>
    <row r="77" spans="1:9" x14ac:dyDescent="0.2">
      <c r="A77" s="16" t="s">
        <v>421</v>
      </c>
      <c r="B77" s="125" t="s">
        <v>1895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10000</v>
      </c>
      <c r="I77" s="10">
        <v>23000</v>
      </c>
    </row>
    <row r="78" spans="1:9" x14ac:dyDescent="0.2">
      <c r="A78" s="16" t="s">
        <v>420</v>
      </c>
      <c r="B78" s="125" t="s">
        <v>2227</v>
      </c>
      <c r="C78" s="12">
        <v>125196.09</v>
      </c>
      <c r="D78" s="12">
        <v>134826.65</v>
      </c>
      <c r="E78" s="12">
        <v>0</v>
      </c>
      <c r="F78" s="12">
        <v>109775</v>
      </c>
      <c r="G78" s="12">
        <v>3578.36</v>
      </c>
      <c r="H78" s="10">
        <v>100000</v>
      </c>
      <c r="I78" s="10">
        <v>60000</v>
      </c>
    </row>
    <row r="79" spans="1:9" ht="13.5" thickBot="1" x14ac:dyDescent="0.25">
      <c r="A79" s="16"/>
      <c r="B79" s="6" t="s">
        <v>1341</v>
      </c>
      <c r="C79" s="135">
        <f t="shared" ref="C79:H79" si="26">SUM(C74:C78)</f>
        <v>125196.09</v>
      </c>
      <c r="D79" s="135">
        <f t="shared" si="26"/>
        <v>134826.65</v>
      </c>
      <c r="E79" s="135">
        <f t="shared" si="26"/>
        <v>0</v>
      </c>
      <c r="F79" s="135">
        <f t="shared" si="26"/>
        <v>109775</v>
      </c>
      <c r="G79" s="135">
        <f t="shared" si="26"/>
        <v>3578.36</v>
      </c>
      <c r="H79" s="135">
        <f t="shared" si="26"/>
        <v>110000</v>
      </c>
      <c r="I79" s="135">
        <f>SUM(I74:I78)</f>
        <v>109779</v>
      </c>
    </row>
    <row r="80" spans="1:9" ht="13.5" thickTop="1" x14ac:dyDescent="0.2">
      <c r="A80" s="16"/>
      <c r="B80" s="6"/>
      <c r="C80" s="10" t="s">
        <v>1433</v>
      </c>
      <c r="D80" s="10" t="s">
        <v>1433</v>
      </c>
      <c r="E80" s="10" t="s">
        <v>1433</v>
      </c>
      <c r="F80" s="10" t="s">
        <v>1433</v>
      </c>
      <c r="G80" s="10" t="s">
        <v>1433</v>
      </c>
      <c r="H80" s="10" t="s">
        <v>1433</v>
      </c>
      <c r="I80" s="10" t="s">
        <v>1433</v>
      </c>
    </row>
    <row r="81" spans="1:9" x14ac:dyDescent="0.2">
      <c r="A81" s="16"/>
      <c r="B81" s="4" t="s">
        <v>653</v>
      </c>
      <c r="C81" s="10"/>
      <c r="D81" s="10"/>
      <c r="E81" s="10"/>
      <c r="F81" s="10"/>
      <c r="G81" s="10"/>
      <c r="H81" s="10"/>
      <c r="I81" s="10"/>
    </row>
    <row r="82" spans="1:9" x14ac:dyDescent="0.2">
      <c r="A82" s="16"/>
      <c r="B82" s="4" t="s">
        <v>317</v>
      </c>
      <c r="C82" s="10"/>
      <c r="D82" s="10"/>
      <c r="E82" s="10"/>
      <c r="F82" s="10"/>
      <c r="G82" s="10"/>
      <c r="H82" s="10"/>
      <c r="I82" s="10"/>
    </row>
    <row r="83" spans="1:9" x14ac:dyDescent="0.2">
      <c r="A83" s="16"/>
      <c r="B83" s="4" t="s">
        <v>1343</v>
      </c>
      <c r="C83" s="10"/>
      <c r="D83" s="10"/>
      <c r="E83" s="10"/>
      <c r="F83" s="10"/>
      <c r="G83" s="10"/>
      <c r="H83" s="10"/>
      <c r="I83" s="10"/>
    </row>
    <row r="84" spans="1:9" x14ac:dyDescent="0.2">
      <c r="A84" s="16"/>
      <c r="C84" s="129" t="str">
        <f>+$C$4</f>
        <v>2018 ACTUAL</v>
      </c>
      <c r="D84" s="129" t="str">
        <f>+$D$4</f>
        <v>2019 ACTUAL</v>
      </c>
      <c r="E84" s="129" t="str">
        <f>+E$4</f>
        <v>2020 ACTUAL</v>
      </c>
      <c r="F84" s="129" t="str">
        <f>+F$4</f>
        <v>2021 ACTUAL</v>
      </c>
      <c r="G84" s="129" t="str">
        <f>+G$4</f>
        <v>2022 ACTUAL</v>
      </c>
      <c r="H84" s="129" t="str">
        <f>+H$4</f>
        <v xml:space="preserve">2023 BUDGET </v>
      </c>
      <c r="I84" s="129" t="str">
        <f>+I$4</f>
        <v xml:space="preserve">2024 BUDGET </v>
      </c>
    </row>
    <row r="85" spans="1:9" x14ac:dyDescent="0.2">
      <c r="A85" s="16"/>
      <c r="C85" s="112"/>
      <c r="D85" s="112"/>
      <c r="E85" s="112"/>
      <c r="F85" s="112"/>
      <c r="G85" s="112"/>
      <c r="H85" s="112"/>
      <c r="I85" s="112"/>
    </row>
    <row r="86" spans="1:9" x14ac:dyDescent="0.2">
      <c r="A86" s="16"/>
      <c r="B86" t="s">
        <v>1344</v>
      </c>
      <c r="C86" s="10">
        <v>89653.469999999987</v>
      </c>
      <c r="D86" s="10">
        <f t="shared" ref="D86:I86" si="27">C94</f>
        <v>101349.92999999996</v>
      </c>
      <c r="E86" s="10">
        <f t="shared" si="27"/>
        <v>114122.64999999997</v>
      </c>
      <c r="F86" s="10">
        <f t="shared" si="27"/>
        <v>258385.52999999997</v>
      </c>
      <c r="G86" s="10">
        <f t="shared" si="27"/>
        <v>305407.05999999994</v>
      </c>
      <c r="H86" s="10">
        <f t="shared" si="27"/>
        <v>471360.24999999994</v>
      </c>
      <c r="I86" s="10">
        <f t="shared" si="27"/>
        <v>491610.25</v>
      </c>
    </row>
    <row r="87" spans="1:9" x14ac:dyDescent="0.2">
      <c r="C87" s="10" t="s">
        <v>1433</v>
      </c>
      <c r="D87" s="10" t="s">
        <v>1433</v>
      </c>
      <c r="E87" s="10" t="s">
        <v>1433</v>
      </c>
      <c r="F87" s="10" t="s">
        <v>1433</v>
      </c>
      <c r="G87" s="10" t="s">
        <v>1433</v>
      </c>
      <c r="H87" s="10" t="s">
        <v>1433</v>
      </c>
      <c r="I87" s="10" t="s">
        <v>1433</v>
      </c>
    </row>
    <row r="88" spans="1:9" x14ac:dyDescent="0.2">
      <c r="B88" t="s">
        <v>1345</v>
      </c>
      <c r="C88" s="10">
        <f t="shared" ref="C88:I88" si="28">C71</f>
        <v>136892.54999999999</v>
      </c>
      <c r="D88" s="10">
        <f t="shared" si="28"/>
        <v>147599.37</v>
      </c>
      <c r="E88" s="10">
        <f t="shared" si="28"/>
        <v>144262.88</v>
      </c>
      <c r="F88" s="10">
        <f t="shared" si="28"/>
        <v>156796.53</v>
      </c>
      <c r="G88" s="10">
        <f t="shared" si="28"/>
        <v>169531.55</v>
      </c>
      <c r="H88" s="10">
        <f t="shared" si="28"/>
        <v>130250</v>
      </c>
      <c r="I88" s="10">
        <f t="shared" si="28"/>
        <v>160500</v>
      </c>
    </row>
    <row r="89" spans="1:9" x14ac:dyDescent="0.2">
      <c r="C89" s="10"/>
      <c r="D89" s="10"/>
      <c r="E89" s="10"/>
      <c r="F89" s="10"/>
      <c r="G89" s="10"/>
      <c r="H89" s="10"/>
      <c r="I89" s="10"/>
    </row>
    <row r="90" spans="1:9" x14ac:dyDescent="0.2">
      <c r="B90" t="s">
        <v>1346</v>
      </c>
      <c r="C90" s="10">
        <f t="shared" ref="C90:G90" si="29">C79</f>
        <v>125196.09</v>
      </c>
      <c r="D90" s="10">
        <f t="shared" si="29"/>
        <v>134826.65</v>
      </c>
      <c r="E90" s="10">
        <f t="shared" si="29"/>
        <v>0</v>
      </c>
      <c r="F90" s="10">
        <f t="shared" si="29"/>
        <v>109775</v>
      </c>
      <c r="G90" s="10">
        <f t="shared" si="29"/>
        <v>3578.36</v>
      </c>
      <c r="H90" s="10">
        <f t="shared" ref="H90:I90" si="30">H79</f>
        <v>110000</v>
      </c>
      <c r="I90" s="10">
        <f t="shared" si="30"/>
        <v>109779</v>
      </c>
    </row>
    <row r="91" spans="1:9" x14ac:dyDescent="0.2">
      <c r="C91" s="10" t="s">
        <v>1433</v>
      </c>
      <c r="D91" s="10" t="s">
        <v>1433</v>
      </c>
      <c r="E91" s="10" t="s">
        <v>1433</v>
      </c>
      <c r="F91" s="10" t="s">
        <v>1433</v>
      </c>
      <c r="G91" s="10" t="s">
        <v>1433</v>
      </c>
      <c r="H91" s="10" t="s">
        <v>1433</v>
      </c>
      <c r="I91" s="10" t="s">
        <v>1433</v>
      </c>
    </row>
    <row r="92" spans="1:9" x14ac:dyDescent="0.2">
      <c r="B92" t="s">
        <v>1347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</row>
    <row r="93" spans="1:9" x14ac:dyDescent="0.2">
      <c r="C93" s="10"/>
      <c r="D93" s="10"/>
      <c r="E93" s="10"/>
      <c r="F93" s="10"/>
      <c r="G93" s="10"/>
      <c r="H93" s="10"/>
      <c r="I93" s="10"/>
    </row>
    <row r="94" spans="1:9" ht="13.5" thickBot="1" x14ac:dyDescent="0.25">
      <c r="B94" t="s">
        <v>1348</v>
      </c>
      <c r="C94" s="191">
        <f t="shared" ref="C94:G94" si="31">C86+C88-C90+C92</f>
        <v>101349.92999999996</v>
      </c>
      <c r="D94" s="191">
        <f t="shared" si="31"/>
        <v>114122.64999999997</v>
      </c>
      <c r="E94" s="191">
        <f t="shared" si="31"/>
        <v>258385.52999999997</v>
      </c>
      <c r="F94" s="191">
        <f t="shared" si="31"/>
        <v>305407.05999999994</v>
      </c>
      <c r="G94" s="191">
        <f t="shared" si="31"/>
        <v>471360.24999999994</v>
      </c>
      <c r="H94" s="191">
        <f t="shared" ref="H94:I94" si="32">H86+H88-H90+H92</f>
        <v>491610.25</v>
      </c>
      <c r="I94" s="191">
        <f t="shared" si="32"/>
        <v>542331.25</v>
      </c>
    </row>
    <row r="95" spans="1:9" ht="13.5" thickTop="1" x14ac:dyDescent="0.2">
      <c r="C95" s="10"/>
      <c r="D95" s="10"/>
      <c r="E95" s="10"/>
      <c r="F95" s="10"/>
      <c r="G95" s="10"/>
      <c r="H95" s="10"/>
      <c r="I95" s="10"/>
    </row>
    <row r="96" spans="1:9" x14ac:dyDescent="0.2">
      <c r="C96" s="10"/>
      <c r="D96" s="10"/>
      <c r="E96" s="10"/>
      <c r="F96" s="10"/>
      <c r="G96" s="10"/>
      <c r="H96" s="10"/>
      <c r="I96" s="10"/>
    </row>
    <row r="97" spans="1:9" x14ac:dyDescent="0.2">
      <c r="A97" s="16"/>
      <c r="B97" s="4" t="s">
        <v>653</v>
      </c>
      <c r="C97" s="112"/>
      <c r="D97" s="112" t="s">
        <v>1433</v>
      </c>
      <c r="E97" s="112" t="s">
        <v>1433</v>
      </c>
      <c r="F97" s="112" t="s">
        <v>1433</v>
      </c>
      <c r="G97" s="112" t="s">
        <v>1433</v>
      </c>
      <c r="H97" s="112" t="s">
        <v>1433</v>
      </c>
      <c r="I97" s="112" t="s">
        <v>1433</v>
      </c>
    </row>
    <row r="98" spans="1:9" x14ac:dyDescent="0.2">
      <c r="A98" s="16"/>
      <c r="B98" s="4" t="s">
        <v>319</v>
      </c>
      <c r="C98" s="112" t="s">
        <v>1433</v>
      </c>
      <c r="D98" s="112" t="s">
        <v>1433</v>
      </c>
      <c r="E98" s="112" t="s">
        <v>1433</v>
      </c>
      <c r="F98" s="112" t="s">
        <v>1433</v>
      </c>
      <c r="G98" s="112" t="s">
        <v>1433</v>
      </c>
      <c r="H98" s="112" t="s">
        <v>1433</v>
      </c>
      <c r="I98" s="112" t="s">
        <v>1433</v>
      </c>
    </row>
    <row r="99" spans="1:9" ht="15" x14ac:dyDescent="0.25">
      <c r="A99" s="16"/>
      <c r="B99" s="4" t="s">
        <v>1433</v>
      </c>
      <c r="C99" s="112" t="s">
        <v>1433</v>
      </c>
      <c r="D99" s="112" t="s">
        <v>1433</v>
      </c>
      <c r="E99" s="190"/>
      <c r="F99" s="190"/>
      <c r="G99" s="190"/>
      <c r="H99" s="190"/>
      <c r="I99" s="190"/>
    </row>
    <row r="100" spans="1:9" x14ac:dyDescent="0.2">
      <c r="A100" s="16"/>
      <c r="C100" s="129" t="str">
        <f>+$C$4</f>
        <v>2018 ACTUAL</v>
      </c>
      <c r="D100" s="129" t="str">
        <f>+$D$4</f>
        <v>2019 ACTUAL</v>
      </c>
      <c r="E100" s="129" t="str">
        <f>+E$4</f>
        <v>2020 ACTUAL</v>
      </c>
      <c r="F100" s="129" t="str">
        <f>+F$4</f>
        <v>2021 ACTUAL</v>
      </c>
      <c r="G100" s="129" t="str">
        <f>+G$4</f>
        <v>2022 ACTUAL</v>
      </c>
      <c r="H100" s="129" t="str">
        <f>+H$4</f>
        <v xml:space="preserve">2023 BUDGET </v>
      </c>
      <c r="I100" s="129" t="str">
        <f>+I$4</f>
        <v xml:space="preserve">2024 BUDGET </v>
      </c>
    </row>
    <row r="101" spans="1:9" x14ac:dyDescent="0.2">
      <c r="A101" s="206" t="s">
        <v>2482</v>
      </c>
      <c r="B101" s="4" t="s">
        <v>313</v>
      </c>
      <c r="C101" s="10"/>
      <c r="D101" s="10"/>
      <c r="E101" s="10"/>
      <c r="F101" s="10"/>
      <c r="G101" s="10"/>
      <c r="H101" s="10"/>
      <c r="I101" s="10"/>
    </row>
    <row r="102" spans="1:9" x14ac:dyDescent="0.2">
      <c r="A102" s="16" t="s">
        <v>468</v>
      </c>
      <c r="B102" s="125" t="s">
        <v>2229</v>
      </c>
      <c r="C102" s="10">
        <v>3792</v>
      </c>
      <c r="D102" s="10">
        <v>4403</v>
      </c>
      <c r="E102" s="10">
        <v>4154.99</v>
      </c>
      <c r="F102" s="10">
        <v>4665</v>
      </c>
      <c r="G102" s="10">
        <v>4538</v>
      </c>
      <c r="H102" s="10">
        <v>3500</v>
      </c>
      <c r="I102" s="10">
        <f>+H102</f>
        <v>3500</v>
      </c>
    </row>
    <row r="103" spans="1:9" x14ac:dyDescent="0.2">
      <c r="A103" s="16" t="s">
        <v>469</v>
      </c>
      <c r="B103" s="125" t="s">
        <v>1761</v>
      </c>
      <c r="C103" s="12">
        <v>50.63</v>
      </c>
      <c r="D103" s="12">
        <v>16.72</v>
      </c>
      <c r="E103" s="12">
        <v>24.3</v>
      </c>
      <c r="F103" s="12">
        <v>47.45</v>
      </c>
      <c r="G103" s="12">
        <v>59.15</v>
      </c>
      <c r="H103" s="10">
        <v>20</v>
      </c>
      <c r="I103" s="10">
        <f>+H103</f>
        <v>20</v>
      </c>
    </row>
    <row r="104" spans="1:9" ht="13.5" thickBot="1" x14ac:dyDescent="0.25">
      <c r="A104" s="16"/>
      <c r="B104" s="6" t="s">
        <v>137</v>
      </c>
      <c r="C104" s="135">
        <f t="shared" ref="C104:G104" si="33">SUM(C102:C103)</f>
        <v>3842.63</v>
      </c>
      <c r="D104" s="135">
        <f t="shared" si="33"/>
        <v>4419.72</v>
      </c>
      <c r="E104" s="135">
        <f t="shared" si="33"/>
        <v>4179.29</v>
      </c>
      <c r="F104" s="135">
        <f t="shared" si="33"/>
        <v>4712.45</v>
      </c>
      <c r="G104" s="135">
        <f t="shared" si="33"/>
        <v>4597.1499999999996</v>
      </c>
      <c r="H104" s="135">
        <f t="shared" ref="H104:I104" si="34">SUM(H102:H103)</f>
        <v>3520</v>
      </c>
      <c r="I104" s="135">
        <f t="shared" si="34"/>
        <v>3520</v>
      </c>
    </row>
    <row r="105" spans="1:9" ht="13.5" thickTop="1" x14ac:dyDescent="0.2">
      <c r="A105" s="16"/>
      <c r="C105" s="10"/>
      <c r="D105" s="10"/>
      <c r="E105" s="10"/>
      <c r="F105" s="10"/>
      <c r="G105" s="10"/>
      <c r="H105" s="10"/>
      <c r="I105" s="10"/>
    </row>
    <row r="106" spans="1:9" x14ac:dyDescent="0.2">
      <c r="A106" s="198" t="s">
        <v>2483</v>
      </c>
      <c r="B106" s="4" t="s">
        <v>861</v>
      </c>
      <c r="C106" s="10"/>
      <c r="D106" s="10"/>
      <c r="E106" s="10"/>
      <c r="F106" s="10"/>
      <c r="G106" s="10"/>
      <c r="H106" s="10"/>
      <c r="I106" s="10"/>
    </row>
    <row r="107" spans="1:9" x14ac:dyDescent="0.2">
      <c r="A107" s="16" t="s">
        <v>83</v>
      </c>
      <c r="B107" s="125" t="s">
        <v>1895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f t="shared" ref="H107:I107" si="35">+G107</f>
        <v>0</v>
      </c>
      <c r="I107" s="10">
        <f t="shared" si="35"/>
        <v>0</v>
      </c>
    </row>
    <row r="108" spans="1:9" x14ac:dyDescent="0.2">
      <c r="A108" s="16" t="s">
        <v>82</v>
      </c>
      <c r="B108" s="126" t="s">
        <v>2230</v>
      </c>
      <c r="C108" s="12">
        <v>10000</v>
      </c>
      <c r="D108" s="12">
        <v>438.29</v>
      </c>
      <c r="E108" s="12">
        <v>0</v>
      </c>
      <c r="F108" s="12">
        <v>0</v>
      </c>
      <c r="G108" s="12">
        <v>0</v>
      </c>
      <c r="H108" s="10">
        <v>2000</v>
      </c>
      <c r="I108" s="10">
        <v>2000</v>
      </c>
    </row>
    <row r="109" spans="1:9" ht="13.5" thickBot="1" x14ac:dyDescent="0.25">
      <c r="A109" s="16"/>
      <c r="B109" s="6" t="s">
        <v>1341</v>
      </c>
      <c r="C109" s="36">
        <f t="shared" ref="C109:G109" si="36">SUM(C107:C108)</f>
        <v>10000</v>
      </c>
      <c r="D109" s="36">
        <f t="shared" si="36"/>
        <v>438.29</v>
      </c>
      <c r="E109" s="36">
        <f t="shared" si="36"/>
        <v>0</v>
      </c>
      <c r="F109" s="36">
        <f t="shared" si="36"/>
        <v>0</v>
      </c>
      <c r="G109" s="36">
        <f t="shared" si="36"/>
        <v>0</v>
      </c>
      <c r="H109" s="135">
        <f t="shared" ref="H109:I109" si="37">SUM(H107:H108)</f>
        <v>2000</v>
      </c>
      <c r="I109" s="135">
        <f t="shared" si="37"/>
        <v>2000</v>
      </c>
    </row>
    <row r="110" spans="1:9" ht="13.5" thickTop="1" x14ac:dyDescent="0.2">
      <c r="C110" s="10"/>
      <c r="D110" s="10"/>
      <c r="E110" s="10"/>
      <c r="F110" s="10"/>
      <c r="G110" s="10"/>
      <c r="H110" s="10"/>
      <c r="I110" s="10"/>
    </row>
    <row r="111" spans="1:9" x14ac:dyDescent="0.2">
      <c r="A111" s="16"/>
      <c r="B111" s="4" t="s">
        <v>653</v>
      </c>
      <c r="C111" s="10"/>
      <c r="D111" s="10"/>
      <c r="E111" s="10"/>
      <c r="F111" s="10"/>
      <c r="G111" s="10"/>
      <c r="H111" s="10"/>
      <c r="I111" s="10"/>
    </row>
    <row r="112" spans="1:9" x14ac:dyDescent="0.2">
      <c r="A112" s="16"/>
      <c r="B112" s="4" t="s">
        <v>319</v>
      </c>
      <c r="C112" s="10"/>
      <c r="D112" s="10"/>
      <c r="E112" s="10"/>
      <c r="F112" s="10"/>
      <c r="G112" s="10"/>
      <c r="H112" s="10"/>
      <c r="I112" s="10"/>
    </row>
    <row r="113" spans="1:9" x14ac:dyDescent="0.2">
      <c r="A113" s="16"/>
      <c r="B113" s="4" t="s">
        <v>1343</v>
      </c>
      <c r="C113" s="10"/>
      <c r="D113" s="10"/>
      <c r="E113" s="10"/>
      <c r="F113" s="10"/>
      <c r="G113" s="10"/>
      <c r="H113" s="10"/>
      <c r="I113" s="10"/>
    </row>
    <row r="114" spans="1:9" x14ac:dyDescent="0.2">
      <c r="A114" s="16"/>
      <c r="C114" s="129" t="str">
        <f>+$C$4</f>
        <v>2018 ACTUAL</v>
      </c>
      <c r="D114" s="129" t="str">
        <f>+$D$4</f>
        <v>2019 ACTUAL</v>
      </c>
      <c r="E114" s="129" t="str">
        <f>+E$4</f>
        <v>2020 ACTUAL</v>
      </c>
      <c r="F114" s="129" t="str">
        <f>+F$4</f>
        <v>2021 ACTUAL</v>
      </c>
      <c r="G114" s="129" t="str">
        <f>+G$4</f>
        <v>2022 ACTUAL</v>
      </c>
      <c r="H114" s="129" t="str">
        <f>+H$4</f>
        <v xml:space="preserve">2023 BUDGET </v>
      </c>
      <c r="I114" s="129" t="str">
        <f>+I$4</f>
        <v xml:space="preserve">2024 BUDGET </v>
      </c>
    </row>
    <row r="115" spans="1:9" x14ac:dyDescent="0.2">
      <c r="A115" s="16"/>
      <c r="C115" s="112"/>
      <c r="D115" s="112"/>
      <c r="E115" s="112"/>
      <c r="F115" s="112"/>
      <c r="G115" s="112"/>
      <c r="H115" s="112"/>
      <c r="I115" s="112"/>
    </row>
    <row r="116" spans="1:9" x14ac:dyDescent="0.2">
      <c r="A116" s="16"/>
      <c r="B116" t="s">
        <v>1344</v>
      </c>
      <c r="C116" s="10">
        <v>12073.58</v>
      </c>
      <c r="D116" s="10">
        <f t="shared" ref="D116:I116" si="38">C124</f>
        <v>5916.2099999999991</v>
      </c>
      <c r="E116" s="10">
        <f t="shared" si="38"/>
        <v>9897.64</v>
      </c>
      <c r="F116" s="10">
        <f t="shared" si="38"/>
        <v>14076.93</v>
      </c>
      <c r="G116" s="10">
        <f t="shared" si="38"/>
        <v>18789.38</v>
      </c>
      <c r="H116" s="10">
        <f t="shared" si="38"/>
        <v>23386.53</v>
      </c>
      <c r="I116" s="10">
        <f t="shared" si="38"/>
        <v>24906.53</v>
      </c>
    </row>
    <row r="117" spans="1:9" x14ac:dyDescent="0.2">
      <c r="C117" s="10" t="s">
        <v>1433</v>
      </c>
      <c r="D117" s="10" t="s">
        <v>1433</v>
      </c>
      <c r="E117" s="10" t="s">
        <v>1433</v>
      </c>
      <c r="F117" s="10" t="s">
        <v>1433</v>
      </c>
      <c r="G117" s="10" t="s">
        <v>1433</v>
      </c>
      <c r="H117" s="10" t="s">
        <v>1433</v>
      </c>
      <c r="I117" s="10" t="s">
        <v>1433</v>
      </c>
    </row>
    <row r="118" spans="1:9" x14ac:dyDescent="0.2">
      <c r="B118" t="s">
        <v>1345</v>
      </c>
      <c r="C118" s="10">
        <f t="shared" ref="C118:G118" si="39">C104</f>
        <v>3842.63</v>
      </c>
      <c r="D118" s="10">
        <f t="shared" si="39"/>
        <v>4419.72</v>
      </c>
      <c r="E118" s="10">
        <f t="shared" si="39"/>
        <v>4179.29</v>
      </c>
      <c r="F118" s="10">
        <f t="shared" si="39"/>
        <v>4712.45</v>
      </c>
      <c r="G118" s="10">
        <f t="shared" si="39"/>
        <v>4597.1499999999996</v>
      </c>
      <c r="H118" s="10">
        <f t="shared" ref="H118:I118" si="40">H104</f>
        <v>3520</v>
      </c>
      <c r="I118" s="10">
        <f t="shared" si="40"/>
        <v>3520</v>
      </c>
    </row>
    <row r="119" spans="1:9" x14ac:dyDescent="0.2">
      <c r="C119" s="10"/>
      <c r="D119" s="10"/>
      <c r="E119" s="10"/>
      <c r="F119" s="10"/>
      <c r="G119" s="10"/>
      <c r="H119" s="10"/>
      <c r="I119" s="10"/>
    </row>
    <row r="120" spans="1:9" x14ac:dyDescent="0.2">
      <c r="B120" t="s">
        <v>1346</v>
      </c>
      <c r="C120" s="10">
        <f t="shared" ref="C120:G120" si="41">C109</f>
        <v>10000</v>
      </c>
      <c r="D120" s="10">
        <f t="shared" si="41"/>
        <v>438.29</v>
      </c>
      <c r="E120" s="10">
        <f t="shared" si="41"/>
        <v>0</v>
      </c>
      <c r="F120" s="10">
        <f t="shared" si="41"/>
        <v>0</v>
      </c>
      <c r="G120" s="10">
        <f t="shared" si="41"/>
        <v>0</v>
      </c>
      <c r="H120" s="10">
        <f t="shared" ref="H120:I120" si="42">H109</f>
        <v>2000</v>
      </c>
      <c r="I120" s="10">
        <f t="shared" si="42"/>
        <v>2000</v>
      </c>
    </row>
    <row r="121" spans="1:9" x14ac:dyDescent="0.2">
      <c r="C121" s="10" t="s">
        <v>1433</v>
      </c>
      <c r="D121" s="10" t="s">
        <v>1433</v>
      </c>
      <c r="E121" s="10" t="s">
        <v>1433</v>
      </c>
      <c r="F121" s="10" t="s">
        <v>1433</v>
      </c>
      <c r="G121" s="10" t="s">
        <v>1433</v>
      </c>
      <c r="H121" s="10" t="s">
        <v>1433</v>
      </c>
      <c r="I121" s="10" t="s">
        <v>1433</v>
      </c>
    </row>
    <row r="122" spans="1:9" x14ac:dyDescent="0.2">
      <c r="B122" t="s">
        <v>1347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</row>
    <row r="123" spans="1:9" x14ac:dyDescent="0.2">
      <c r="C123" s="10"/>
      <c r="D123" s="10"/>
      <c r="E123" s="10"/>
      <c r="F123" s="10"/>
      <c r="G123" s="10"/>
      <c r="H123" s="10"/>
      <c r="I123" s="10"/>
    </row>
    <row r="124" spans="1:9" ht="13.5" thickBot="1" x14ac:dyDescent="0.25">
      <c r="B124" t="s">
        <v>1348</v>
      </c>
      <c r="C124" s="191">
        <f t="shared" ref="C124:G124" si="43">C116+C118-C120+C122</f>
        <v>5916.2099999999991</v>
      </c>
      <c r="D124" s="191">
        <f t="shared" si="43"/>
        <v>9897.64</v>
      </c>
      <c r="E124" s="191">
        <f t="shared" si="43"/>
        <v>14076.93</v>
      </c>
      <c r="F124" s="191">
        <f t="shared" si="43"/>
        <v>18789.38</v>
      </c>
      <c r="G124" s="191">
        <f t="shared" si="43"/>
        <v>23386.53</v>
      </c>
      <c r="H124" s="191">
        <f t="shared" ref="H124:I124" si="44">H116+H118-H120+H122</f>
        <v>24906.53</v>
      </c>
      <c r="I124" s="191">
        <f t="shared" si="44"/>
        <v>26426.53</v>
      </c>
    </row>
    <row r="125" spans="1:9" ht="13.5" thickTop="1" x14ac:dyDescent="0.2">
      <c r="C125" s="10"/>
      <c r="D125" s="10"/>
      <c r="E125" s="10"/>
      <c r="F125" s="10"/>
      <c r="G125" s="10"/>
      <c r="H125" s="10"/>
      <c r="I125" s="10"/>
    </row>
    <row r="126" spans="1:9" x14ac:dyDescent="0.2">
      <c r="C126" s="10"/>
      <c r="D126" s="10"/>
      <c r="E126" s="10"/>
      <c r="F126" s="10"/>
      <c r="G126" s="10"/>
      <c r="H126" s="10"/>
      <c r="I126" s="10"/>
    </row>
    <row r="127" spans="1:9" x14ac:dyDescent="0.2">
      <c r="C127" s="10"/>
      <c r="D127" s="10"/>
      <c r="E127" s="10"/>
      <c r="F127" s="10"/>
      <c r="G127" s="10"/>
      <c r="H127" s="10"/>
      <c r="I127" s="10"/>
    </row>
    <row r="128" spans="1:9" x14ac:dyDescent="0.2">
      <c r="B128" s="4" t="s">
        <v>653</v>
      </c>
      <c r="C128" s="112" t="s">
        <v>1433</v>
      </c>
      <c r="D128" s="112" t="s">
        <v>1433</v>
      </c>
      <c r="E128" s="112" t="s">
        <v>1433</v>
      </c>
      <c r="F128" s="112" t="s">
        <v>1433</v>
      </c>
      <c r="G128" s="112" t="s">
        <v>1433</v>
      </c>
      <c r="H128" s="112" t="s">
        <v>1433</v>
      </c>
      <c r="I128" s="112" t="s">
        <v>1433</v>
      </c>
    </row>
    <row r="129" spans="1:9" x14ac:dyDescent="0.2">
      <c r="B129" s="4" t="s">
        <v>281</v>
      </c>
      <c r="C129" s="112" t="s">
        <v>1433</v>
      </c>
      <c r="D129" s="112" t="s">
        <v>1433</v>
      </c>
      <c r="E129" s="112" t="s">
        <v>1433</v>
      </c>
      <c r="F129" s="112" t="s">
        <v>1433</v>
      </c>
      <c r="G129" s="112" t="s">
        <v>1433</v>
      </c>
      <c r="H129" s="112" t="s">
        <v>1433</v>
      </c>
      <c r="I129" s="112" t="s">
        <v>1433</v>
      </c>
    </row>
    <row r="130" spans="1:9" ht="15" x14ac:dyDescent="0.25">
      <c r="B130" s="4" t="s">
        <v>1433</v>
      </c>
      <c r="C130" s="112" t="s">
        <v>1433</v>
      </c>
      <c r="D130" s="112" t="s">
        <v>1433</v>
      </c>
      <c r="E130" s="190"/>
      <c r="F130" s="190"/>
      <c r="G130" s="190"/>
      <c r="H130" s="190"/>
      <c r="I130" s="190"/>
    </row>
    <row r="131" spans="1:9" x14ac:dyDescent="0.2">
      <c r="C131" s="129" t="str">
        <f>+$C$4</f>
        <v>2018 ACTUAL</v>
      </c>
      <c r="D131" s="129" t="str">
        <f>+$D$4</f>
        <v>2019 ACTUAL</v>
      </c>
      <c r="E131" s="129" t="str">
        <f>+E$4</f>
        <v>2020 ACTUAL</v>
      </c>
      <c r="F131" s="129" t="str">
        <f>+F$4</f>
        <v>2021 ACTUAL</v>
      </c>
      <c r="G131" s="129" t="str">
        <f>+G$4</f>
        <v>2022 ACTUAL</v>
      </c>
      <c r="H131" s="129" t="str">
        <f>+H$4</f>
        <v xml:space="preserve">2023 BUDGET </v>
      </c>
      <c r="I131" s="129" t="str">
        <f>+I$4</f>
        <v xml:space="preserve">2024 BUDGET </v>
      </c>
    </row>
    <row r="132" spans="1:9" x14ac:dyDescent="0.2">
      <c r="A132" s="206" t="s">
        <v>2484</v>
      </c>
      <c r="B132" s="4" t="s">
        <v>313</v>
      </c>
      <c r="C132" s="10"/>
      <c r="D132" s="10"/>
      <c r="E132" s="10"/>
      <c r="F132" s="10"/>
      <c r="G132" s="10"/>
      <c r="H132" s="10"/>
      <c r="I132" s="10"/>
    </row>
    <row r="133" spans="1:9" x14ac:dyDescent="0.2">
      <c r="A133" s="16" t="s">
        <v>466</v>
      </c>
      <c r="B133" s="125" t="s">
        <v>663</v>
      </c>
      <c r="C133" s="10">
        <v>5377.96</v>
      </c>
      <c r="D133" s="10">
        <v>4925.45</v>
      </c>
      <c r="E133" s="10">
        <v>6186.97</v>
      </c>
      <c r="F133" s="10">
        <v>5726.73</v>
      </c>
      <c r="G133" s="10">
        <v>3731.92</v>
      </c>
      <c r="H133" s="10">
        <v>5000</v>
      </c>
      <c r="I133" s="10">
        <f t="shared" ref="I133:I134" si="45">+H133</f>
        <v>5000</v>
      </c>
    </row>
    <row r="134" spans="1:9" x14ac:dyDescent="0.2">
      <c r="A134" s="16" t="s">
        <v>467</v>
      </c>
      <c r="B134" s="125" t="s">
        <v>1761</v>
      </c>
      <c r="C134" s="12">
        <v>732.2</v>
      </c>
      <c r="D134" s="12">
        <v>1121.6500000000001</v>
      </c>
      <c r="E134" s="12">
        <v>554.32000000000005</v>
      </c>
      <c r="F134" s="12">
        <v>45.78</v>
      </c>
      <c r="G134" s="12">
        <v>377.45</v>
      </c>
      <c r="H134" s="10">
        <v>20</v>
      </c>
      <c r="I134" s="10">
        <f t="shared" si="45"/>
        <v>20</v>
      </c>
    </row>
    <row r="135" spans="1:9" ht="13.5" thickBot="1" x14ac:dyDescent="0.25">
      <c r="A135" s="16"/>
      <c r="B135" s="6" t="s">
        <v>1118</v>
      </c>
      <c r="C135" s="135">
        <f t="shared" ref="C135:G135" si="46">SUM(C133:C134)</f>
        <v>6110.16</v>
      </c>
      <c r="D135" s="135">
        <f t="shared" si="46"/>
        <v>6047.1</v>
      </c>
      <c r="E135" s="135">
        <f t="shared" si="46"/>
        <v>6741.29</v>
      </c>
      <c r="F135" s="135">
        <f t="shared" si="46"/>
        <v>5772.5099999999993</v>
      </c>
      <c r="G135" s="135">
        <f t="shared" si="46"/>
        <v>4109.37</v>
      </c>
      <c r="H135" s="135">
        <f t="shared" ref="H135:I135" si="47">SUM(H133:H134)</f>
        <v>5020</v>
      </c>
      <c r="I135" s="135">
        <f t="shared" si="47"/>
        <v>5020</v>
      </c>
    </row>
    <row r="136" spans="1:9" ht="13.5" thickTop="1" x14ac:dyDescent="0.2">
      <c r="A136" s="16"/>
      <c r="C136" s="10"/>
      <c r="D136" s="10"/>
      <c r="E136" s="10"/>
      <c r="F136" s="10"/>
      <c r="G136" s="10"/>
      <c r="H136" s="10"/>
      <c r="I136" s="10"/>
    </row>
    <row r="137" spans="1:9" x14ac:dyDescent="0.2">
      <c r="A137" s="198" t="s">
        <v>2485</v>
      </c>
      <c r="B137" s="4" t="s">
        <v>861</v>
      </c>
      <c r="C137" s="10"/>
      <c r="D137" s="10"/>
      <c r="E137" s="10"/>
      <c r="F137" s="10"/>
      <c r="G137" s="10"/>
      <c r="H137" s="10"/>
      <c r="I137" s="10"/>
    </row>
    <row r="138" spans="1:9" x14ac:dyDescent="0.2">
      <c r="A138" s="16" t="s">
        <v>282</v>
      </c>
      <c r="B138" s="125" t="s">
        <v>2231</v>
      </c>
      <c r="C138" s="37">
        <v>28088.54</v>
      </c>
      <c r="D138" s="37">
        <v>17934.07</v>
      </c>
      <c r="E138" s="37">
        <v>16291.62</v>
      </c>
      <c r="F138" s="37">
        <v>13248.25</v>
      </c>
      <c r="G138" s="37">
        <v>8345</v>
      </c>
      <c r="H138" s="10">
        <v>10000</v>
      </c>
      <c r="I138" s="10">
        <v>10000</v>
      </c>
    </row>
    <row r="139" spans="1:9" ht="13.5" thickBot="1" x14ac:dyDescent="0.25">
      <c r="A139" s="16"/>
      <c r="B139" s="6" t="s">
        <v>1118</v>
      </c>
      <c r="C139" s="36">
        <f t="shared" ref="C139:G139" si="48">SUM(C138)</f>
        <v>28088.54</v>
      </c>
      <c r="D139" s="36">
        <f t="shared" si="48"/>
        <v>17934.07</v>
      </c>
      <c r="E139" s="36">
        <f t="shared" si="48"/>
        <v>16291.62</v>
      </c>
      <c r="F139" s="36">
        <f t="shared" si="48"/>
        <v>13248.25</v>
      </c>
      <c r="G139" s="36">
        <f t="shared" si="48"/>
        <v>8345</v>
      </c>
      <c r="H139" s="135">
        <f t="shared" ref="H139:I139" si="49">SUM(H138)</f>
        <v>10000</v>
      </c>
      <c r="I139" s="135">
        <f t="shared" si="49"/>
        <v>10000</v>
      </c>
    </row>
    <row r="140" spans="1:9" ht="13.5" thickTop="1" x14ac:dyDescent="0.2">
      <c r="A140" s="16"/>
      <c r="B140" s="6"/>
      <c r="C140" s="10"/>
      <c r="D140" s="10"/>
      <c r="E140" s="10"/>
      <c r="F140" s="10"/>
      <c r="G140" s="10"/>
      <c r="H140" s="10"/>
      <c r="I140" s="10"/>
    </row>
    <row r="141" spans="1:9" x14ac:dyDescent="0.2">
      <c r="A141" s="16"/>
      <c r="B141" s="4" t="s">
        <v>653</v>
      </c>
      <c r="C141" s="10"/>
      <c r="D141" s="10"/>
      <c r="E141" s="10"/>
      <c r="F141" s="10"/>
      <c r="G141" s="10"/>
      <c r="H141" s="10"/>
      <c r="I141" s="10"/>
    </row>
    <row r="142" spans="1:9" x14ac:dyDescent="0.2">
      <c r="A142" s="16"/>
      <c r="B142" s="4" t="s">
        <v>283</v>
      </c>
      <c r="C142" s="10"/>
      <c r="D142" s="10"/>
      <c r="E142" s="10"/>
      <c r="F142" s="10"/>
      <c r="G142" s="10"/>
      <c r="H142" s="10"/>
      <c r="I142" s="10"/>
    </row>
    <row r="143" spans="1:9" x14ac:dyDescent="0.2">
      <c r="A143" s="16"/>
      <c r="B143" s="4" t="s">
        <v>1343</v>
      </c>
      <c r="C143" s="10"/>
      <c r="D143" s="10"/>
      <c r="E143" s="10"/>
      <c r="F143" s="10"/>
      <c r="G143" s="10"/>
      <c r="H143" s="10"/>
      <c r="I143" s="10"/>
    </row>
    <row r="144" spans="1:9" x14ac:dyDescent="0.2">
      <c r="A144" s="16"/>
      <c r="C144" s="129" t="str">
        <f>+$C$4</f>
        <v>2018 ACTUAL</v>
      </c>
      <c r="D144" s="129" t="str">
        <f>+$D$4</f>
        <v>2019 ACTUAL</v>
      </c>
      <c r="E144" s="129" t="str">
        <f>+E$4</f>
        <v>2020 ACTUAL</v>
      </c>
      <c r="F144" s="129" t="str">
        <f>+F$4</f>
        <v>2021 ACTUAL</v>
      </c>
      <c r="G144" s="129" t="str">
        <f>+G$4</f>
        <v>2022 ACTUAL</v>
      </c>
      <c r="H144" s="129" t="str">
        <f>+H$4</f>
        <v xml:space="preserve">2023 BUDGET </v>
      </c>
      <c r="I144" s="129" t="str">
        <f>+I$4</f>
        <v xml:space="preserve">2024 BUDGET </v>
      </c>
    </row>
    <row r="145" spans="1:9" x14ac:dyDescent="0.2">
      <c r="A145" s="16"/>
      <c r="C145" s="112"/>
      <c r="D145" s="112"/>
      <c r="E145" s="112"/>
      <c r="F145" s="112"/>
      <c r="G145" s="112"/>
      <c r="H145" s="112"/>
      <c r="I145" s="112"/>
    </row>
    <row r="146" spans="1:9" x14ac:dyDescent="0.2">
      <c r="B146" t="s">
        <v>1344</v>
      </c>
      <c r="C146" s="10">
        <v>73219.55</v>
      </c>
      <c r="D146" s="10">
        <f t="shared" ref="D146:I146" si="50">+C154</f>
        <v>51241.170000000006</v>
      </c>
      <c r="E146" s="10">
        <f t="shared" si="50"/>
        <v>39354.200000000004</v>
      </c>
      <c r="F146" s="10">
        <f t="shared" si="50"/>
        <v>29803.870000000003</v>
      </c>
      <c r="G146" s="10">
        <f t="shared" si="50"/>
        <v>22328.130000000005</v>
      </c>
      <c r="H146" s="10">
        <f t="shared" si="50"/>
        <v>18092.500000000004</v>
      </c>
      <c r="I146" s="10">
        <f t="shared" si="50"/>
        <v>13112.500000000004</v>
      </c>
    </row>
    <row r="147" spans="1:9" x14ac:dyDescent="0.2">
      <c r="C147" s="10"/>
      <c r="D147" s="10"/>
      <c r="E147" s="10"/>
      <c r="F147" s="10"/>
      <c r="G147" s="10"/>
      <c r="H147" s="10"/>
      <c r="I147" s="10"/>
    </row>
    <row r="148" spans="1:9" x14ac:dyDescent="0.2">
      <c r="B148" t="s">
        <v>1345</v>
      </c>
      <c r="C148" s="10">
        <f t="shared" ref="C148:G148" si="51">C135</f>
        <v>6110.16</v>
      </c>
      <c r="D148" s="10">
        <f t="shared" si="51"/>
        <v>6047.1</v>
      </c>
      <c r="E148" s="10">
        <f t="shared" si="51"/>
        <v>6741.29</v>
      </c>
      <c r="F148" s="10">
        <f t="shared" si="51"/>
        <v>5772.5099999999993</v>
      </c>
      <c r="G148" s="10">
        <f t="shared" si="51"/>
        <v>4109.37</v>
      </c>
      <c r="H148" s="10">
        <f t="shared" ref="H148:I148" si="52">H135</f>
        <v>5020</v>
      </c>
      <c r="I148" s="10">
        <f t="shared" si="52"/>
        <v>5020</v>
      </c>
    </row>
    <row r="149" spans="1:9" x14ac:dyDescent="0.2">
      <c r="C149" s="10"/>
      <c r="D149" s="10"/>
      <c r="E149" s="10"/>
      <c r="F149" s="10"/>
      <c r="G149" s="10"/>
      <c r="H149" s="10"/>
      <c r="I149" s="10"/>
    </row>
    <row r="150" spans="1:9" x14ac:dyDescent="0.2">
      <c r="B150" t="s">
        <v>1346</v>
      </c>
      <c r="C150" s="10">
        <f t="shared" ref="C150:G150" si="53">C139</f>
        <v>28088.54</v>
      </c>
      <c r="D150" s="10">
        <f t="shared" si="53"/>
        <v>17934.07</v>
      </c>
      <c r="E150" s="10">
        <f t="shared" si="53"/>
        <v>16291.62</v>
      </c>
      <c r="F150" s="10">
        <f t="shared" si="53"/>
        <v>13248.25</v>
      </c>
      <c r="G150" s="10">
        <f t="shared" si="53"/>
        <v>8345</v>
      </c>
      <c r="H150" s="10">
        <f t="shared" ref="H150:I150" si="54">H139</f>
        <v>10000</v>
      </c>
      <c r="I150" s="10">
        <f t="shared" si="54"/>
        <v>10000</v>
      </c>
    </row>
    <row r="151" spans="1:9" x14ac:dyDescent="0.2">
      <c r="C151" s="10"/>
      <c r="D151" s="10"/>
      <c r="E151" s="10"/>
      <c r="F151" s="10"/>
      <c r="G151" s="10"/>
      <c r="H151" s="10"/>
      <c r="I151" s="10"/>
    </row>
    <row r="152" spans="1:9" x14ac:dyDescent="0.2">
      <c r="B152" t="s">
        <v>1347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</row>
    <row r="153" spans="1:9" x14ac:dyDescent="0.2">
      <c r="C153" s="10"/>
      <c r="D153" s="10"/>
      <c r="E153" s="10"/>
      <c r="F153" s="10"/>
      <c r="G153" s="10"/>
      <c r="H153" s="10"/>
      <c r="I153" s="10"/>
    </row>
    <row r="154" spans="1:9" ht="13.5" thickBot="1" x14ac:dyDescent="0.25">
      <c r="B154" t="s">
        <v>1348</v>
      </c>
      <c r="C154" s="36">
        <f t="shared" ref="C154:G154" si="55">C146+C148-C150+C152</f>
        <v>51241.170000000006</v>
      </c>
      <c r="D154" s="36">
        <f t="shared" si="55"/>
        <v>39354.200000000004</v>
      </c>
      <c r="E154" s="36">
        <f t="shared" si="55"/>
        <v>29803.870000000003</v>
      </c>
      <c r="F154" s="36">
        <f t="shared" si="55"/>
        <v>22328.130000000005</v>
      </c>
      <c r="G154" s="36">
        <f t="shared" si="55"/>
        <v>18092.500000000004</v>
      </c>
      <c r="H154" s="36">
        <f t="shared" ref="H154:I154" si="56">H146+H148-H150+H152</f>
        <v>13112.500000000004</v>
      </c>
      <c r="I154" s="36">
        <f t="shared" si="56"/>
        <v>8132.5000000000036</v>
      </c>
    </row>
    <row r="155" spans="1:9" ht="13.5" thickTop="1" x14ac:dyDescent="0.2">
      <c r="C155" s="10"/>
      <c r="D155" s="10"/>
      <c r="E155" s="10"/>
      <c r="F155" s="10"/>
      <c r="G155" s="10"/>
      <c r="H155" s="10"/>
      <c r="I155" s="10"/>
    </row>
    <row r="156" spans="1:9" x14ac:dyDescent="0.2">
      <c r="C156" s="10"/>
      <c r="D156" s="10"/>
      <c r="E156" s="10"/>
      <c r="F156" s="10"/>
      <c r="G156" s="10"/>
      <c r="H156" s="10"/>
      <c r="I156" s="10"/>
    </row>
    <row r="157" spans="1:9" x14ac:dyDescent="0.2">
      <c r="C157" s="10"/>
      <c r="D157" s="10"/>
      <c r="E157" s="10"/>
      <c r="F157" s="10"/>
      <c r="G157" s="10"/>
      <c r="H157" s="10"/>
      <c r="I157" s="10"/>
    </row>
    <row r="158" spans="1:9" x14ac:dyDescent="0.2">
      <c r="C158" s="10"/>
      <c r="D158" s="10"/>
      <c r="E158" s="10"/>
      <c r="F158" s="10"/>
      <c r="G158" s="10"/>
      <c r="H158" s="10"/>
      <c r="I158" s="10"/>
    </row>
    <row r="159" spans="1:9" x14ac:dyDescent="0.2">
      <c r="B159" s="4" t="s">
        <v>653</v>
      </c>
      <c r="C159" s="112" t="s">
        <v>1433</v>
      </c>
      <c r="D159" s="112" t="s">
        <v>1433</v>
      </c>
      <c r="E159" s="112" t="s">
        <v>1433</v>
      </c>
      <c r="F159" s="112" t="s">
        <v>1433</v>
      </c>
      <c r="G159" s="112" t="s">
        <v>1433</v>
      </c>
      <c r="H159" s="112" t="s">
        <v>1433</v>
      </c>
      <c r="I159" s="112" t="s">
        <v>1433</v>
      </c>
    </row>
    <row r="160" spans="1:9" x14ac:dyDescent="0.2">
      <c r="B160" s="4" t="s">
        <v>422</v>
      </c>
      <c r="C160" s="112" t="s">
        <v>1433</v>
      </c>
      <c r="D160" s="112" t="s">
        <v>1433</v>
      </c>
      <c r="E160" s="112"/>
      <c r="F160" s="112"/>
      <c r="G160" s="112"/>
      <c r="H160" s="112"/>
      <c r="I160" s="112"/>
    </row>
    <row r="161" spans="1:9" ht="15" x14ac:dyDescent="0.25">
      <c r="B161" s="4" t="s">
        <v>1433</v>
      </c>
      <c r="C161" s="112" t="s">
        <v>1433</v>
      </c>
      <c r="D161" s="112" t="s">
        <v>1433</v>
      </c>
      <c r="E161" s="190"/>
      <c r="F161" s="190"/>
      <c r="G161" s="190"/>
      <c r="H161" s="190"/>
      <c r="I161" s="190"/>
    </row>
    <row r="162" spans="1:9" x14ac:dyDescent="0.2">
      <c r="C162" s="129" t="str">
        <f>+$C$4</f>
        <v>2018 ACTUAL</v>
      </c>
      <c r="D162" s="129" t="str">
        <f>+$D$4</f>
        <v>2019 ACTUAL</v>
      </c>
      <c r="E162" s="129" t="str">
        <f>+E$4</f>
        <v>2020 ACTUAL</v>
      </c>
      <c r="F162" s="129" t="str">
        <f>+F$4</f>
        <v>2021 ACTUAL</v>
      </c>
      <c r="G162" s="129" t="str">
        <f>+G$4</f>
        <v>2022 ACTUAL</v>
      </c>
      <c r="H162" s="129" t="str">
        <f>+H$4</f>
        <v xml:space="preserve">2023 BUDGET </v>
      </c>
      <c r="I162" s="129" t="str">
        <f>+I$4</f>
        <v xml:space="preserve">2024 BUDGET </v>
      </c>
    </row>
    <row r="163" spans="1:9" x14ac:dyDescent="0.2">
      <c r="A163" s="206" t="s">
        <v>2486</v>
      </c>
      <c r="B163" s="4" t="s">
        <v>313</v>
      </c>
      <c r="C163" s="10"/>
      <c r="D163" s="10"/>
      <c r="E163" s="10"/>
      <c r="F163" s="10"/>
      <c r="G163" s="10"/>
      <c r="H163" s="10"/>
      <c r="I163" s="10"/>
    </row>
    <row r="164" spans="1:9" x14ac:dyDescent="0.2">
      <c r="A164" s="16" t="s">
        <v>464</v>
      </c>
      <c r="B164" s="125" t="s">
        <v>2232</v>
      </c>
      <c r="C164" s="10">
        <v>6071.74</v>
      </c>
      <c r="D164" s="10">
        <v>7327.76</v>
      </c>
      <c r="E164" s="10">
        <v>4100.3900000000003</v>
      </c>
      <c r="F164" s="10">
        <v>7396.65</v>
      </c>
      <c r="G164" s="10">
        <v>20838.59</v>
      </c>
      <c r="H164" s="10">
        <v>4500</v>
      </c>
      <c r="I164" s="10">
        <f t="shared" ref="I164:I165" si="57">+H164</f>
        <v>4500</v>
      </c>
    </row>
    <row r="165" spans="1:9" x14ac:dyDescent="0.2">
      <c r="A165" s="16" t="s">
        <v>465</v>
      </c>
      <c r="B165" s="125" t="s">
        <v>1761</v>
      </c>
      <c r="C165" s="12">
        <v>258.29000000000002</v>
      </c>
      <c r="D165" s="12">
        <v>170.08</v>
      </c>
      <c r="E165" s="12">
        <v>172.23</v>
      </c>
      <c r="F165" s="12">
        <v>248.49</v>
      </c>
      <c r="G165" s="12">
        <v>271.22000000000003</v>
      </c>
      <c r="H165" s="10">
        <v>5</v>
      </c>
      <c r="I165" s="10">
        <f t="shared" si="57"/>
        <v>5</v>
      </c>
    </row>
    <row r="166" spans="1:9" ht="13.5" thickBot="1" x14ac:dyDescent="0.25">
      <c r="A166" s="16"/>
      <c r="B166" s="6" t="s">
        <v>1118</v>
      </c>
      <c r="C166" s="135">
        <f t="shared" ref="C166:G166" si="58">SUM(C164:C165)</f>
        <v>6330.03</v>
      </c>
      <c r="D166" s="135">
        <f t="shared" si="58"/>
        <v>7497.84</v>
      </c>
      <c r="E166" s="135">
        <f t="shared" si="58"/>
        <v>4272.62</v>
      </c>
      <c r="F166" s="135">
        <f t="shared" si="58"/>
        <v>7645.1399999999994</v>
      </c>
      <c r="G166" s="135">
        <f t="shared" si="58"/>
        <v>21109.81</v>
      </c>
      <c r="H166" s="135">
        <f t="shared" ref="H166:I166" si="59">SUM(H164:H165)</f>
        <v>4505</v>
      </c>
      <c r="I166" s="135">
        <f t="shared" si="59"/>
        <v>4505</v>
      </c>
    </row>
    <row r="167" spans="1:9" ht="13.5" thickTop="1" x14ac:dyDescent="0.2">
      <c r="A167" s="16"/>
      <c r="C167" s="10"/>
      <c r="D167" s="10"/>
      <c r="E167" s="10"/>
      <c r="F167" s="10"/>
      <c r="G167" s="10"/>
      <c r="H167" s="10"/>
      <c r="I167" s="10"/>
    </row>
    <row r="168" spans="1:9" x14ac:dyDescent="0.2">
      <c r="A168" s="198" t="s">
        <v>2487</v>
      </c>
      <c r="B168" s="4" t="s">
        <v>861</v>
      </c>
      <c r="C168" s="10"/>
      <c r="D168" s="10"/>
      <c r="E168" s="10"/>
      <c r="F168" s="10"/>
      <c r="G168" s="10"/>
      <c r="H168" s="10"/>
      <c r="I168" s="10"/>
    </row>
    <row r="169" spans="1:9" x14ac:dyDescent="0.2">
      <c r="A169" s="16" t="s">
        <v>243</v>
      </c>
      <c r="B169" s="125" t="s">
        <v>2231</v>
      </c>
      <c r="C169" s="37">
        <v>0</v>
      </c>
      <c r="D169" s="37">
        <v>0</v>
      </c>
      <c r="E169" s="37">
        <v>2648.84</v>
      </c>
      <c r="F169" s="37">
        <v>0</v>
      </c>
      <c r="G169" s="37">
        <v>10540</v>
      </c>
      <c r="H169" s="10">
        <v>7775</v>
      </c>
      <c r="I169" s="10">
        <v>7775</v>
      </c>
    </row>
    <row r="170" spans="1:9" ht="13.5" thickBot="1" x14ac:dyDescent="0.25">
      <c r="A170" s="16"/>
      <c r="B170" s="6" t="s">
        <v>1118</v>
      </c>
      <c r="C170" s="36">
        <f t="shared" ref="C170:G170" si="60">SUM(C169)</f>
        <v>0</v>
      </c>
      <c r="D170" s="36">
        <f t="shared" si="60"/>
        <v>0</v>
      </c>
      <c r="E170" s="36">
        <f t="shared" si="60"/>
        <v>2648.84</v>
      </c>
      <c r="F170" s="36">
        <f t="shared" si="60"/>
        <v>0</v>
      </c>
      <c r="G170" s="36">
        <f t="shared" si="60"/>
        <v>10540</v>
      </c>
      <c r="H170" s="135">
        <f t="shared" ref="H170:I170" si="61">SUM(H169)</f>
        <v>7775</v>
      </c>
      <c r="I170" s="135">
        <f t="shared" si="61"/>
        <v>7775</v>
      </c>
    </row>
    <row r="171" spans="1:9" ht="13.5" thickTop="1" x14ac:dyDescent="0.2">
      <c r="A171" s="16"/>
      <c r="B171" s="6"/>
      <c r="C171" s="10"/>
      <c r="D171" s="10"/>
      <c r="E171" s="10"/>
      <c r="F171" s="10"/>
      <c r="G171" s="10"/>
      <c r="H171" s="10"/>
      <c r="I171" s="10"/>
    </row>
    <row r="172" spans="1:9" x14ac:dyDescent="0.2">
      <c r="A172" s="16"/>
      <c r="B172" s="4" t="s">
        <v>653</v>
      </c>
      <c r="C172" s="10"/>
      <c r="D172" s="10"/>
      <c r="E172" s="10"/>
      <c r="F172" s="10"/>
      <c r="G172" s="10"/>
      <c r="H172" s="10"/>
      <c r="I172" s="10"/>
    </row>
    <row r="173" spans="1:9" x14ac:dyDescent="0.2">
      <c r="A173" s="16"/>
      <c r="B173" s="4" t="s">
        <v>422</v>
      </c>
      <c r="C173" s="10"/>
      <c r="D173" s="10"/>
      <c r="E173" s="10"/>
      <c r="F173" s="10"/>
      <c r="G173" s="10"/>
      <c r="H173" s="10"/>
      <c r="I173" s="10"/>
    </row>
    <row r="174" spans="1:9" x14ac:dyDescent="0.2">
      <c r="A174" s="16"/>
      <c r="B174" s="4" t="s">
        <v>1343</v>
      </c>
      <c r="C174" s="10"/>
      <c r="D174" s="10"/>
      <c r="E174" s="10"/>
      <c r="F174" s="10"/>
      <c r="G174" s="10"/>
      <c r="H174" s="10"/>
      <c r="I174" s="10"/>
    </row>
    <row r="175" spans="1:9" x14ac:dyDescent="0.2">
      <c r="A175" s="16"/>
      <c r="C175" s="129" t="str">
        <f>+$C$4</f>
        <v>2018 ACTUAL</v>
      </c>
      <c r="D175" s="129" t="str">
        <f>+$D$4</f>
        <v>2019 ACTUAL</v>
      </c>
      <c r="E175" s="129" t="str">
        <f>+E$4</f>
        <v>2020 ACTUAL</v>
      </c>
      <c r="F175" s="129" t="str">
        <f>+F$4</f>
        <v>2021 ACTUAL</v>
      </c>
      <c r="G175" s="129" t="str">
        <f>+G$4</f>
        <v>2022 ACTUAL</v>
      </c>
      <c r="H175" s="129" t="str">
        <f>+H$4</f>
        <v xml:space="preserve">2023 BUDGET </v>
      </c>
      <c r="I175" s="129" t="str">
        <f>+I$4</f>
        <v xml:space="preserve">2024 BUDGET </v>
      </c>
    </row>
    <row r="176" spans="1:9" x14ac:dyDescent="0.2">
      <c r="A176" s="16"/>
      <c r="C176" s="112"/>
      <c r="D176" s="112"/>
      <c r="E176" s="112"/>
      <c r="F176" s="112"/>
      <c r="G176" s="112"/>
      <c r="H176" s="112"/>
      <c r="I176" s="112"/>
    </row>
    <row r="177" spans="2:9" x14ac:dyDescent="0.2">
      <c r="B177" t="s">
        <v>1344</v>
      </c>
      <c r="C177" s="10">
        <v>65893.5</v>
      </c>
      <c r="D177" s="10">
        <f t="shared" ref="D177:I177" si="62">C185</f>
        <v>72223.53</v>
      </c>
      <c r="E177" s="10">
        <f t="shared" si="62"/>
        <v>79721.37</v>
      </c>
      <c r="F177" s="10">
        <f t="shared" si="62"/>
        <v>81345.149999999994</v>
      </c>
      <c r="G177" s="10">
        <f t="shared" si="62"/>
        <v>88990.29</v>
      </c>
      <c r="H177" s="10">
        <f t="shared" si="62"/>
        <v>99560.099999999991</v>
      </c>
      <c r="I177" s="10">
        <f t="shared" si="62"/>
        <v>96290.099999999991</v>
      </c>
    </row>
    <row r="178" spans="2:9" x14ac:dyDescent="0.2">
      <c r="C178" s="10"/>
      <c r="D178" s="10"/>
      <c r="E178" s="10"/>
      <c r="F178" s="10"/>
      <c r="G178" s="10"/>
      <c r="H178" s="10"/>
      <c r="I178" s="10"/>
    </row>
    <row r="179" spans="2:9" x14ac:dyDescent="0.2">
      <c r="B179" t="s">
        <v>1345</v>
      </c>
      <c r="C179" s="10">
        <f t="shared" ref="C179:G179" si="63">C166</f>
        <v>6330.03</v>
      </c>
      <c r="D179" s="10">
        <f t="shared" si="63"/>
        <v>7497.84</v>
      </c>
      <c r="E179" s="10">
        <f t="shared" si="63"/>
        <v>4272.62</v>
      </c>
      <c r="F179" s="10">
        <f t="shared" si="63"/>
        <v>7645.1399999999994</v>
      </c>
      <c r="G179" s="10">
        <f t="shared" si="63"/>
        <v>21109.81</v>
      </c>
      <c r="H179" s="10">
        <f t="shared" ref="H179:I179" si="64">H166</f>
        <v>4505</v>
      </c>
      <c r="I179" s="10">
        <f t="shared" si="64"/>
        <v>4505</v>
      </c>
    </row>
    <row r="180" spans="2:9" x14ac:dyDescent="0.2">
      <c r="C180" s="10"/>
      <c r="D180" s="10"/>
      <c r="E180" s="10"/>
      <c r="F180" s="10"/>
      <c r="G180" s="10"/>
      <c r="H180" s="10"/>
      <c r="I180" s="10"/>
    </row>
    <row r="181" spans="2:9" x14ac:dyDescent="0.2">
      <c r="B181" t="s">
        <v>1346</v>
      </c>
      <c r="C181" s="10">
        <f t="shared" ref="C181:G181" si="65">C170</f>
        <v>0</v>
      </c>
      <c r="D181" s="10">
        <f t="shared" si="65"/>
        <v>0</v>
      </c>
      <c r="E181" s="10">
        <f t="shared" si="65"/>
        <v>2648.84</v>
      </c>
      <c r="F181" s="10">
        <f t="shared" si="65"/>
        <v>0</v>
      </c>
      <c r="G181" s="10">
        <f t="shared" si="65"/>
        <v>10540</v>
      </c>
      <c r="H181" s="10">
        <f t="shared" ref="H181:I181" si="66">H170</f>
        <v>7775</v>
      </c>
      <c r="I181" s="10">
        <f t="shared" si="66"/>
        <v>7775</v>
      </c>
    </row>
    <row r="182" spans="2:9" x14ac:dyDescent="0.2">
      <c r="C182" s="10"/>
      <c r="D182" s="10"/>
      <c r="E182" s="10"/>
      <c r="F182" s="10"/>
      <c r="G182" s="10"/>
      <c r="H182" s="10"/>
      <c r="I182" s="10"/>
    </row>
    <row r="183" spans="2:9" x14ac:dyDescent="0.2">
      <c r="B183" t="s">
        <v>1347</v>
      </c>
      <c r="C183" s="12">
        <v>0</v>
      </c>
      <c r="D183" s="12">
        <v>0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</row>
    <row r="184" spans="2:9" x14ac:dyDescent="0.2">
      <c r="C184" s="10"/>
      <c r="D184" s="10"/>
      <c r="E184" s="10"/>
      <c r="F184" s="10"/>
      <c r="G184" s="10"/>
      <c r="H184" s="10"/>
      <c r="I184" s="10"/>
    </row>
    <row r="185" spans="2:9" ht="13.5" thickBot="1" x14ac:dyDescent="0.25">
      <c r="B185" t="s">
        <v>1348</v>
      </c>
      <c r="C185" s="36">
        <f t="shared" ref="C185:G185" si="67">C177+C179-C181+C183</f>
        <v>72223.53</v>
      </c>
      <c r="D185" s="36">
        <f t="shared" si="67"/>
        <v>79721.37</v>
      </c>
      <c r="E185" s="36">
        <f t="shared" si="67"/>
        <v>81345.149999999994</v>
      </c>
      <c r="F185" s="36">
        <f t="shared" si="67"/>
        <v>88990.29</v>
      </c>
      <c r="G185" s="36">
        <f t="shared" si="67"/>
        <v>99560.099999999991</v>
      </c>
      <c r="H185" s="36">
        <f t="shared" ref="H185:I185" si="68">H177+H179-H181+H183</f>
        <v>96290.099999999991</v>
      </c>
      <c r="I185" s="36">
        <f t="shared" si="68"/>
        <v>93020.099999999991</v>
      </c>
    </row>
    <row r="186" spans="2:9" ht="13.5" thickTop="1" x14ac:dyDescent="0.2">
      <c r="C186" s="10"/>
      <c r="D186" s="10"/>
      <c r="E186" s="10"/>
      <c r="F186" s="10"/>
      <c r="G186" s="10"/>
      <c r="H186" s="10"/>
      <c r="I186" s="10"/>
    </row>
    <row r="187" spans="2:9" x14ac:dyDescent="0.2">
      <c r="C187" s="10"/>
      <c r="D187" s="10"/>
      <c r="E187" s="10"/>
      <c r="F187" s="10"/>
      <c r="G187" s="10"/>
      <c r="H187" s="10"/>
      <c r="I187" s="10"/>
    </row>
    <row r="188" spans="2:9" x14ac:dyDescent="0.2">
      <c r="C188" s="10"/>
      <c r="D188" s="10"/>
      <c r="E188" s="10"/>
      <c r="F188" s="10"/>
      <c r="G188" s="10"/>
      <c r="H188" s="10"/>
      <c r="I188" s="10"/>
    </row>
    <row r="189" spans="2:9" x14ac:dyDescent="0.2">
      <c r="B189" s="4" t="s">
        <v>653</v>
      </c>
      <c r="C189" s="10"/>
      <c r="D189" s="10"/>
      <c r="E189" s="10"/>
      <c r="F189" s="10"/>
      <c r="G189" s="10"/>
      <c r="H189" s="10"/>
      <c r="I189" s="10"/>
    </row>
    <row r="190" spans="2:9" x14ac:dyDescent="0.2">
      <c r="B190" s="4" t="s">
        <v>320</v>
      </c>
      <c r="C190" s="10"/>
      <c r="D190" s="10"/>
      <c r="E190" s="10"/>
      <c r="F190" s="10"/>
      <c r="G190" s="10"/>
      <c r="H190" s="10"/>
      <c r="I190" s="10"/>
    </row>
    <row r="191" spans="2:9" ht="15" x14ac:dyDescent="0.25">
      <c r="C191" s="10"/>
      <c r="D191" s="10"/>
      <c r="E191" s="190"/>
      <c r="F191" s="190"/>
      <c r="G191" s="190"/>
      <c r="H191" s="190"/>
      <c r="I191" s="190"/>
    </row>
    <row r="192" spans="2:9" x14ac:dyDescent="0.2">
      <c r="C192" s="129" t="str">
        <f>+$C$4</f>
        <v>2018 ACTUAL</v>
      </c>
      <c r="D192" s="129" t="str">
        <f>+$D$4</f>
        <v>2019 ACTUAL</v>
      </c>
      <c r="E192" s="129" t="str">
        <f>+E$4</f>
        <v>2020 ACTUAL</v>
      </c>
      <c r="F192" s="129" t="str">
        <f>+F$4</f>
        <v>2021 ACTUAL</v>
      </c>
      <c r="G192" s="129" t="str">
        <f>+G$4</f>
        <v>2022 ACTUAL</v>
      </c>
      <c r="H192" s="129" t="str">
        <f>+H$4</f>
        <v xml:space="preserve">2023 BUDGET </v>
      </c>
      <c r="I192" s="129" t="str">
        <f>+I$4</f>
        <v xml:space="preserve">2024 BUDGET </v>
      </c>
    </row>
    <row r="193" spans="1:9" x14ac:dyDescent="0.2">
      <c r="A193" s="206" t="s">
        <v>2488</v>
      </c>
      <c r="B193" s="4" t="s">
        <v>313</v>
      </c>
      <c r="C193" s="10"/>
      <c r="D193" s="10"/>
      <c r="E193" s="10"/>
      <c r="F193" s="10"/>
      <c r="G193" s="10"/>
      <c r="H193" s="10"/>
      <c r="I193" s="10"/>
    </row>
    <row r="194" spans="1:9" x14ac:dyDescent="0.2">
      <c r="A194" s="16" t="s">
        <v>475</v>
      </c>
      <c r="B194" s="125" t="s">
        <v>2232</v>
      </c>
      <c r="C194" s="10">
        <v>3360.2</v>
      </c>
      <c r="D194" s="10">
        <v>5725</v>
      </c>
      <c r="E194" s="10">
        <v>5185</v>
      </c>
      <c r="F194" s="10">
        <v>4512.9799999999996</v>
      </c>
      <c r="G194" s="10">
        <v>7070</v>
      </c>
      <c r="H194" s="10">
        <v>4000</v>
      </c>
      <c r="I194" s="10">
        <f>+H194</f>
        <v>4000</v>
      </c>
    </row>
    <row r="195" spans="1:9" x14ac:dyDescent="0.2">
      <c r="A195" s="16" t="s">
        <v>476</v>
      </c>
      <c r="B195" s="125" t="s">
        <v>1761</v>
      </c>
      <c r="C195" s="12">
        <v>132.86000000000001</v>
      </c>
      <c r="D195" s="12">
        <v>87.08</v>
      </c>
      <c r="E195" s="12">
        <v>90.9</v>
      </c>
      <c r="F195" s="12">
        <v>142.91999999999999</v>
      </c>
      <c r="G195" s="12">
        <v>151.38</v>
      </c>
      <c r="H195" s="10">
        <v>5</v>
      </c>
      <c r="I195" s="10">
        <f>+H195</f>
        <v>5</v>
      </c>
    </row>
    <row r="196" spans="1:9" ht="13.5" thickBot="1" x14ac:dyDescent="0.25">
      <c r="A196" s="16"/>
      <c r="B196" s="6" t="s">
        <v>1118</v>
      </c>
      <c r="C196" s="135">
        <f t="shared" ref="C196:G196" si="69">SUM(C194:C195)</f>
        <v>3493.06</v>
      </c>
      <c r="D196" s="135">
        <f t="shared" si="69"/>
        <v>5812.08</v>
      </c>
      <c r="E196" s="135">
        <f t="shared" si="69"/>
        <v>5275.9</v>
      </c>
      <c r="F196" s="135">
        <f t="shared" si="69"/>
        <v>4655.8999999999996</v>
      </c>
      <c r="G196" s="135">
        <f t="shared" si="69"/>
        <v>7221.38</v>
      </c>
      <c r="H196" s="135">
        <f t="shared" ref="H196:I196" si="70">SUM(H194:H195)</f>
        <v>4005</v>
      </c>
      <c r="I196" s="135">
        <f t="shared" si="70"/>
        <v>4005</v>
      </c>
    </row>
    <row r="197" spans="1:9" ht="13.5" thickTop="1" x14ac:dyDescent="0.2">
      <c r="A197" s="16"/>
      <c r="C197" s="10"/>
      <c r="D197" s="10"/>
      <c r="E197" s="10"/>
      <c r="F197" s="10"/>
      <c r="G197" s="10"/>
      <c r="H197" s="10"/>
      <c r="I197" s="10"/>
    </row>
    <row r="198" spans="1:9" x14ac:dyDescent="0.2">
      <c r="A198" s="198" t="s">
        <v>2489</v>
      </c>
      <c r="B198" s="4" t="s">
        <v>861</v>
      </c>
      <c r="C198" s="10"/>
      <c r="D198" s="10"/>
      <c r="E198" s="10"/>
      <c r="F198" s="10"/>
      <c r="G198" s="10"/>
      <c r="H198" s="10"/>
      <c r="I198" s="10"/>
    </row>
    <row r="199" spans="1:9" x14ac:dyDescent="0.2">
      <c r="A199" s="16" t="s">
        <v>84</v>
      </c>
      <c r="B199" s="125" t="s">
        <v>2231</v>
      </c>
      <c r="C199" s="37">
        <v>1951.57</v>
      </c>
      <c r="D199" s="37">
        <v>0</v>
      </c>
      <c r="E199" s="37">
        <v>0</v>
      </c>
      <c r="F199" s="37">
        <v>0</v>
      </c>
      <c r="G199" s="37">
        <v>6245</v>
      </c>
      <c r="H199" s="10">
        <v>0</v>
      </c>
      <c r="I199" s="10">
        <v>5000</v>
      </c>
    </row>
    <row r="200" spans="1:9" ht="13.5" thickBot="1" x14ac:dyDescent="0.25">
      <c r="A200" s="16"/>
      <c r="B200" s="6" t="s">
        <v>1118</v>
      </c>
      <c r="C200" s="36">
        <f t="shared" ref="C200:G200" si="71">SUM(C199)</f>
        <v>1951.57</v>
      </c>
      <c r="D200" s="36">
        <f t="shared" si="71"/>
        <v>0</v>
      </c>
      <c r="E200" s="36">
        <f t="shared" si="71"/>
        <v>0</v>
      </c>
      <c r="F200" s="36">
        <f t="shared" si="71"/>
        <v>0</v>
      </c>
      <c r="G200" s="36">
        <f t="shared" si="71"/>
        <v>6245</v>
      </c>
      <c r="H200" s="135">
        <f t="shared" ref="H200:I200" si="72">SUM(H199)</f>
        <v>0</v>
      </c>
      <c r="I200" s="135">
        <f t="shared" si="72"/>
        <v>5000</v>
      </c>
    </row>
    <row r="201" spans="1:9" ht="13.5" thickTop="1" x14ac:dyDescent="0.2">
      <c r="C201" s="10"/>
      <c r="D201" s="10"/>
      <c r="E201" s="10"/>
      <c r="F201" s="10"/>
      <c r="G201" s="10"/>
      <c r="H201" s="10"/>
      <c r="I201" s="10"/>
    </row>
    <row r="202" spans="1:9" x14ac:dyDescent="0.2">
      <c r="A202" s="16"/>
      <c r="B202" s="4" t="s">
        <v>653</v>
      </c>
      <c r="C202" s="10"/>
      <c r="D202" s="10"/>
      <c r="E202" s="10"/>
      <c r="F202" s="10"/>
      <c r="G202" s="10"/>
      <c r="H202" s="10"/>
      <c r="I202" s="10"/>
    </row>
    <row r="203" spans="1:9" x14ac:dyDescent="0.2">
      <c r="A203" s="16"/>
      <c r="B203" s="4" t="s">
        <v>320</v>
      </c>
      <c r="C203" s="10"/>
      <c r="D203" s="10"/>
      <c r="E203" s="10"/>
      <c r="F203" s="10"/>
      <c r="G203" s="10"/>
      <c r="H203" s="10"/>
      <c r="I203" s="10"/>
    </row>
    <row r="204" spans="1:9" x14ac:dyDescent="0.2">
      <c r="A204" s="16"/>
      <c r="B204" s="4" t="s">
        <v>1343</v>
      </c>
      <c r="C204" s="10"/>
      <c r="D204" s="10"/>
      <c r="E204" s="10"/>
      <c r="F204" s="10"/>
      <c r="G204" s="10"/>
      <c r="H204" s="10"/>
      <c r="I204" s="10"/>
    </row>
    <row r="205" spans="1:9" x14ac:dyDescent="0.2">
      <c r="A205" s="16"/>
      <c r="C205" s="129" t="str">
        <f>+$C$4</f>
        <v>2018 ACTUAL</v>
      </c>
      <c r="D205" s="129" t="str">
        <f>+$D$4</f>
        <v>2019 ACTUAL</v>
      </c>
      <c r="E205" s="129" t="str">
        <f>+E$4</f>
        <v>2020 ACTUAL</v>
      </c>
      <c r="F205" s="129" t="str">
        <f>+F$4</f>
        <v>2021 ACTUAL</v>
      </c>
      <c r="G205" s="129" t="str">
        <f>+G$4</f>
        <v>2022 ACTUAL</v>
      </c>
      <c r="H205" s="129" t="str">
        <f>+H$4</f>
        <v xml:space="preserve">2023 BUDGET </v>
      </c>
      <c r="I205" s="129" t="str">
        <f>+I$4</f>
        <v xml:space="preserve">2024 BUDGET </v>
      </c>
    </row>
    <row r="206" spans="1:9" x14ac:dyDescent="0.2">
      <c r="A206" s="16"/>
      <c r="C206" s="112"/>
      <c r="D206" s="112"/>
      <c r="E206" s="112"/>
      <c r="F206" s="112"/>
      <c r="G206" s="112"/>
      <c r="H206" s="112"/>
      <c r="I206" s="112"/>
    </row>
    <row r="207" spans="1:9" x14ac:dyDescent="0.2">
      <c r="B207" t="s">
        <v>1344</v>
      </c>
      <c r="C207" s="10">
        <v>34023.910000000003</v>
      </c>
      <c r="D207" s="10">
        <f t="shared" ref="D207:I207" si="73">C215</f>
        <v>35565.4</v>
      </c>
      <c r="E207" s="10">
        <f t="shared" si="73"/>
        <v>41377.480000000003</v>
      </c>
      <c r="F207" s="10">
        <f t="shared" si="73"/>
        <v>46653.380000000005</v>
      </c>
      <c r="G207" s="10">
        <f t="shared" si="73"/>
        <v>51309.280000000006</v>
      </c>
      <c r="H207" s="10">
        <f t="shared" si="73"/>
        <v>52285.66</v>
      </c>
      <c r="I207" s="10">
        <f t="shared" si="73"/>
        <v>56290.66</v>
      </c>
    </row>
    <row r="208" spans="1:9" x14ac:dyDescent="0.2">
      <c r="C208" s="10"/>
      <c r="D208" s="10"/>
      <c r="E208" s="10"/>
      <c r="F208" s="10"/>
      <c r="G208" s="10"/>
      <c r="H208" s="10"/>
      <c r="I208" s="10"/>
    </row>
    <row r="209" spans="2:9" x14ac:dyDescent="0.2">
      <c r="B209" t="s">
        <v>1345</v>
      </c>
      <c r="C209" s="10">
        <f t="shared" ref="C209:G209" si="74">C196</f>
        <v>3493.06</v>
      </c>
      <c r="D209" s="10">
        <f t="shared" si="74"/>
        <v>5812.08</v>
      </c>
      <c r="E209" s="10">
        <f t="shared" si="74"/>
        <v>5275.9</v>
      </c>
      <c r="F209" s="10">
        <f t="shared" si="74"/>
        <v>4655.8999999999996</v>
      </c>
      <c r="G209" s="10">
        <f t="shared" si="74"/>
        <v>7221.38</v>
      </c>
      <c r="H209" s="10">
        <f t="shared" ref="H209:I209" si="75">H196</f>
        <v>4005</v>
      </c>
      <c r="I209" s="10">
        <f t="shared" si="75"/>
        <v>4005</v>
      </c>
    </row>
    <row r="210" spans="2:9" x14ac:dyDescent="0.2">
      <c r="C210" s="10"/>
      <c r="D210" s="10"/>
      <c r="E210" s="10"/>
      <c r="F210" s="10"/>
      <c r="G210" s="10"/>
      <c r="H210" s="10"/>
      <c r="I210" s="10"/>
    </row>
    <row r="211" spans="2:9" x14ac:dyDescent="0.2">
      <c r="B211" t="s">
        <v>1346</v>
      </c>
      <c r="C211" s="10">
        <f t="shared" ref="C211:G211" si="76">C200</f>
        <v>1951.57</v>
      </c>
      <c r="D211" s="10">
        <f t="shared" si="76"/>
        <v>0</v>
      </c>
      <c r="E211" s="10">
        <f t="shared" si="76"/>
        <v>0</v>
      </c>
      <c r="F211" s="10">
        <f t="shared" si="76"/>
        <v>0</v>
      </c>
      <c r="G211" s="10">
        <f t="shared" si="76"/>
        <v>6245</v>
      </c>
      <c r="H211" s="10">
        <f t="shared" ref="H211:I211" si="77">H200</f>
        <v>0</v>
      </c>
      <c r="I211" s="10">
        <f t="shared" si="77"/>
        <v>5000</v>
      </c>
    </row>
    <row r="212" spans="2:9" x14ac:dyDescent="0.2">
      <c r="C212" s="10"/>
      <c r="D212" s="10"/>
      <c r="E212" s="10"/>
      <c r="F212" s="10"/>
      <c r="G212" s="10"/>
      <c r="H212" s="10"/>
      <c r="I212" s="10"/>
    </row>
    <row r="213" spans="2:9" x14ac:dyDescent="0.2">
      <c r="B213" t="s">
        <v>1347</v>
      </c>
      <c r="C213" s="12">
        <v>0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</row>
    <row r="214" spans="2:9" x14ac:dyDescent="0.2">
      <c r="C214" s="10"/>
      <c r="D214" s="10"/>
      <c r="E214" s="10"/>
      <c r="F214" s="10"/>
      <c r="G214" s="10"/>
      <c r="H214" s="10"/>
      <c r="I214" s="10"/>
    </row>
    <row r="215" spans="2:9" ht="13.5" thickBot="1" x14ac:dyDescent="0.25">
      <c r="B215" t="s">
        <v>1348</v>
      </c>
      <c r="C215" s="36">
        <f t="shared" ref="C215:G215" si="78">C207+C209-C211+C213</f>
        <v>35565.4</v>
      </c>
      <c r="D215" s="36">
        <f t="shared" si="78"/>
        <v>41377.480000000003</v>
      </c>
      <c r="E215" s="36">
        <f t="shared" si="78"/>
        <v>46653.380000000005</v>
      </c>
      <c r="F215" s="36">
        <f t="shared" si="78"/>
        <v>51309.280000000006</v>
      </c>
      <c r="G215" s="36">
        <f t="shared" si="78"/>
        <v>52285.66</v>
      </c>
      <c r="H215" s="36">
        <f t="shared" ref="H215:I215" si="79">H207+H209-H211+H213</f>
        <v>56290.66</v>
      </c>
      <c r="I215" s="36">
        <f t="shared" si="79"/>
        <v>55295.66</v>
      </c>
    </row>
    <row r="216" spans="2:9" ht="13.5" thickTop="1" x14ac:dyDescent="0.2"/>
    <row r="217" spans="2:9" x14ac:dyDescent="0.2">
      <c r="C217" s="10"/>
    </row>
  </sheetData>
  <phoneticPr fontId="2" type="noConversion"/>
  <pageMargins left="0.5" right="0.5" top="1" bottom="1" header="0.5" footer="0.5"/>
  <pageSetup scale="82" firstPageNumber="46" fitToHeight="0" orientation="portrait" useFirstPageNumber="1" r:id="rId1"/>
  <headerFooter alignWithMargins="0">
    <oddFooter>&amp;C&amp;P</oddFooter>
  </headerFooter>
  <rowBreaks count="6" manualBreakCount="6">
    <brk id="31" max="16383" man="1"/>
    <brk id="62" max="16383" man="1"/>
    <brk id="96" max="16383" man="1"/>
    <brk id="127" max="16383" man="1"/>
    <brk id="158" max="16383" man="1"/>
    <brk id="18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I47"/>
  <sheetViews>
    <sheetView zoomScaleNormal="100" workbookViewId="0">
      <selection activeCell="E19" sqref="E19"/>
    </sheetView>
  </sheetViews>
  <sheetFormatPr defaultRowHeight="12.75" x14ac:dyDescent="0.2"/>
  <cols>
    <col min="1" max="1" width="14.42578125" style="238" customWidth="1"/>
    <col min="2" max="2" width="35.7109375" customWidth="1"/>
    <col min="3" max="3" width="14.28515625" hidden="1" customWidth="1"/>
    <col min="4" max="4" width="13.285156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s="245" t="s">
        <v>1433</v>
      </c>
      <c r="B1" s="4" t="s">
        <v>653</v>
      </c>
      <c r="C1" s="1" t="s">
        <v>1433</v>
      </c>
      <c r="D1" s="1" t="s">
        <v>1433</v>
      </c>
      <c r="E1" s="1" t="s">
        <v>1433</v>
      </c>
      <c r="F1" s="1" t="s">
        <v>1433</v>
      </c>
      <c r="G1" s="1" t="s">
        <v>1433</v>
      </c>
    </row>
    <row r="2" spans="1:9" x14ac:dyDescent="0.2">
      <c r="A2" s="245"/>
      <c r="B2" s="4" t="s">
        <v>284</v>
      </c>
      <c r="C2" s="1" t="s">
        <v>1554</v>
      </c>
      <c r="D2" s="1" t="s">
        <v>1554</v>
      </c>
      <c r="E2" s="1" t="s">
        <v>1554</v>
      </c>
      <c r="F2" s="1" t="s">
        <v>1554</v>
      </c>
      <c r="G2" s="1" t="s">
        <v>1554</v>
      </c>
    </row>
    <row r="3" spans="1:9" x14ac:dyDescent="0.2">
      <c r="A3" s="245"/>
      <c r="B3" s="4" t="s">
        <v>1433</v>
      </c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9" x14ac:dyDescent="0.2">
      <c r="A4" s="245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252" t="s">
        <v>2495</v>
      </c>
      <c r="B5" s="4" t="s">
        <v>313</v>
      </c>
    </row>
    <row r="6" spans="1:9" x14ac:dyDescent="0.2">
      <c r="A6" s="245" t="s">
        <v>456</v>
      </c>
      <c r="B6" s="125" t="s">
        <v>660</v>
      </c>
      <c r="C6" s="10">
        <v>16219.72</v>
      </c>
      <c r="D6" s="10">
        <v>17530</v>
      </c>
      <c r="E6" s="10">
        <v>17061</v>
      </c>
      <c r="F6" s="10">
        <v>18633.8</v>
      </c>
      <c r="G6" s="10">
        <v>26173.25</v>
      </c>
      <c r="H6" s="10">
        <v>15000</v>
      </c>
      <c r="I6" s="10">
        <v>18000</v>
      </c>
    </row>
    <row r="7" spans="1:9" x14ac:dyDescent="0.2">
      <c r="A7" s="245" t="s">
        <v>457</v>
      </c>
      <c r="B7" s="125" t="s">
        <v>2233</v>
      </c>
      <c r="C7" s="10">
        <v>21427.56</v>
      </c>
      <c r="D7" s="10">
        <v>18841.22</v>
      </c>
      <c r="E7" s="10">
        <v>12283.15</v>
      </c>
      <c r="F7" s="10">
        <v>13098.61</v>
      </c>
      <c r="G7" s="10">
        <v>11791.71</v>
      </c>
      <c r="H7" s="10">
        <v>13000</v>
      </c>
      <c r="I7" s="10">
        <v>13000</v>
      </c>
    </row>
    <row r="8" spans="1:9" x14ac:dyDescent="0.2">
      <c r="A8" s="245" t="s">
        <v>458</v>
      </c>
      <c r="B8" s="125" t="s">
        <v>663</v>
      </c>
      <c r="C8" s="10">
        <v>5523.88</v>
      </c>
      <c r="D8" s="10">
        <v>5479.8</v>
      </c>
      <c r="E8" s="10">
        <v>5444</v>
      </c>
      <c r="F8" s="10">
        <v>5512.01</v>
      </c>
      <c r="G8" s="10">
        <v>12015.25</v>
      </c>
      <c r="H8" s="10">
        <v>5000</v>
      </c>
      <c r="I8" s="10">
        <f t="shared" ref="H8:I10" si="0">+H8</f>
        <v>5000</v>
      </c>
    </row>
    <row r="9" spans="1:9" x14ac:dyDescent="0.2">
      <c r="A9" s="245" t="s">
        <v>459</v>
      </c>
      <c r="B9" s="125" t="s">
        <v>2234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f t="shared" si="0"/>
        <v>0</v>
      </c>
      <c r="I9" s="10">
        <f t="shared" si="0"/>
        <v>0</v>
      </c>
    </row>
    <row r="10" spans="1:9" x14ac:dyDescent="0.2">
      <c r="A10" s="245" t="s">
        <v>460</v>
      </c>
      <c r="B10" s="125" t="s">
        <v>1761</v>
      </c>
      <c r="C10" s="19">
        <v>3.95</v>
      </c>
      <c r="D10" s="19">
        <v>0</v>
      </c>
      <c r="E10" s="19">
        <v>17.260000000000002</v>
      </c>
      <c r="F10" s="19">
        <v>120.19</v>
      </c>
      <c r="G10" s="19">
        <v>65.5</v>
      </c>
      <c r="H10" s="10">
        <v>20</v>
      </c>
      <c r="I10" s="10">
        <f t="shared" si="0"/>
        <v>20</v>
      </c>
    </row>
    <row r="11" spans="1:9" x14ac:dyDescent="0.2">
      <c r="A11" s="245"/>
      <c r="B11" s="6" t="s">
        <v>1118</v>
      </c>
      <c r="C11" s="17">
        <f t="shared" ref="C11:G11" si="1">SUM(C6:C10)</f>
        <v>43175.109999999993</v>
      </c>
      <c r="D11" s="17">
        <f t="shared" si="1"/>
        <v>41851.020000000004</v>
      </c>
      <c r="E11" s="17">
        <f t="shared" si="1"/>
        <v>34805.410000000003</v>
      </c>
      <c r="F11" s="17">
        <f t="shared" si="1"/>
        <v>37364.61</v>
      </c>
      <c r="G11" s="17">
        <f t="shared" si="1"/>
        <v>50045.71</v>
      </c>
      <c r="H11" s="196">
        <f t="shared" ref="H11:I11" si="2">SUM(H6:H10)</f>
        <v>33020</v>
      </c>
      <c r="I11" s="196">
        <f t="shared" si="2"/>
        <v>36020</v>
      </c>
    </row>
    <row r="12" spans="1:9" x14ac:dyDescent="0.2">
      <c r="A12" s="249">
        <v>550.4</v>
      </c>
      <c r="B12" s="4" t="s">
        <v>1825</v>
      </c>
      <c r="C12" s="10"/>
      <c r="D12" s="10"/>
      <c r="E12" s="10"/>
      <c r="F12" s="10"/>
      <c r="G12" s="10"/>
      <c r="H12" s="10"/>
      <c r="I12" s="10"/>
    </row>
    <row r="13" spans="1:9" x14ac:dyDescent="0.2">
      <c r="A13" s="250" t="s">
        <v>2238</v>
      </c>
      <c r="B13" s="125" t="s">
        <v>1882</v>
      </c>
      <c r="C13" s="17">
        <v>0</v>
      </c>
      <c r="D13" s="17">
        <v>60000</v>
      </c>
      <c r="E13" s="12">
        <v>60000</v>
      </c>
      <c r="F13" s="17">
        <v>70000</v>
      </c>
      <c r="G13" s="17">
        <v>75000</v>
      </c>
      <c r="H13" s="10">
        <v>130000</v>
      </c>
      <c r="I13" s="10">
        <v>170000</v>
      </c>
    </row>
    <row r="14" spans="1:9" x14ac:dyDescent="0.2">
      <c r="A14" s="250"/>
      <c r="B14" s="6" t="s">
        <v>1118</v>
      </c>
      <c r="C14" s="127">
        <f t="shared" ref="C14:F14" si="3">+C13</f>
        <v>0</v>
      </c>
      <c r="D14" s="127">
        <f t="shared" si="3"/>
        <v>60000</v>
      </c>
      <c r="E14" s="127">
        <f t="shared" si="3"/>
        <v>60000</v>
      </c>
      <c r="F14" s="127">
        <f t="shared" si="3"/>
        <v>70000</v>
      </c>
      <c r="G14" s="127">
        <f t="shared" ref="G14:H14" si="4">+G13</f>
        <v>75000</v>
      </c>
      <c r="H14" s="127">
        <f t="shared" si="4"/>
        <v>130000</v>
      </c>
      <c r="I14" s="127">
        <f t="shared" ref="I14" si="5">+I13</f>
        <v>170000</v>
      </c>
    </row>
    <row r="15" spans="1:9" x14ac:dyDescent="0.2">
      <c r="B15" s="6"/>
      <c r="C15" s="10"/>
      <c r="D15" s="10"/>
      <c r="E15" s="10"/>
      <c r="F15" s="10"/>
      <c r="G15" s="10"/>
      <c r="H15" s="10"/>
      <c r="I15" s="10"/>
    </row>
    <row r="16" spans="1:9" ht="13.5" thickBot="1" x14ac:dyDescent="0.25">
      <c r="A16" s="245"/>
      <c r="B16" s="6" t="s">
        <v>137</v>
      </c>
      <c r="C16" s="135">
        <f t="shared" ref="C16:F16" si="6">+C14+C11</f>
        <v>43175.109999999993</v>
      </c>
      <c r="D16" s="135">
        <f t="shared" si="6"/>
        <v>101851.02</v>
      </c>
      <c r="E16" s="135">
        <f t="shared" si="6"/>
        <v>94805.41</v>
      </c>
      <c r="F16" s="135">
        <f t="shared" si="6"/>
        <v>107364.61</v>
      </c>
      <c r="G16" s="135">
        <f t="shared" ref="G16:H16" si="7">+G14+G11</f>
        <v>125045.70999999999</v>
      </c>
      <c r="H16" s="135">
        <f t="shared" si="7"/>
        <v>163020</v>
      </c>
      <c r="I16" s="135">
        <f t="shared" ref="I16" si="8">+I14+I11</f>
        <v>206020</v>
      </c>
    </row>
    <row r="17" spans="1:9" ht="13.5" thickTop="1" x14ac:dyDescent="0.2">
      <c r="A17" s="245" t="s">
        <v>1433</v>
      </c>
      <c r="C17" s="10"/>
      <c r="D17" s="10"/>
      <c r="E17" s="10"/>
      <c r="F17" s="10"/>
      <c r="G17" s="10"/>
      <c r="H17" s="10"/>
      <c r="I17" s="10"/>
    </row>
    <row r="18" spans="1:9" x14ac:dyDescent="0.2">
      <c r="A18" s="246" t="s">
        <v>2496</v>
      </c>
      <c r="B18" s="4" t="s">
        <v>861</v>
      </c>
      <c r="C18" s="10"/>
      <c r="D18" s="10"/>
      <c r="E18" s="10"/>
      <c r="F18" s="10"/>
      <c r="G18" s="10"/>
      <c r="H18" s="10"/>
      <c r="I18" s="10"/>
    </row>
    <row r="19" spans="1:9" x14ac:dyDescent="0.2">
      <c r="A19" s="245" t="s">
        <v>285</v>
      </c>
      <c r="B19" s="126" t="s">
        <v>2235</v>
      </c>
      <c r="C19" s="10">
        <v>58559.28</v>
      </c>
      <c r="D19" s="10">
        <v>60159.32</v>
      </c>
      <c r="E19" s="10">
        <v>62819.72</v>
      </c>
      <c r="F19" s="10">
        <v>64827.1</v>
      </c>
      <c r="G19" s="10">
        <v>101227.08</v>
      </c>
      <c r="H19" s="18">
        <v>134969</v>
      </c>
      <c r="I19" s="18">
        <f>38307+48576+53774</f>
        <v>140657</v>
      </c>
    </row>
    <row r="20" spans="1:9" x14ac:dyDescent="0.2">
      <c r="A20" s="245" t="s">
        <v>1378</v>
      </c>
      <c r="B20" s="125" t="s">
        <v>1984</v>
      </c>
      <c r="C20" s="10">
        <v>141.38999999999999</v>
      </c>
      <c r="D20" s="10">
        <v>0</v>
      </c>
      <c r="E20" s="10">
        <v>0</v>
      </c>
      <c r="F20" s="10">
        <v>0</v>
      </c>
      <c r="G20" s="10">
        <v>0</v>
      </c>
      <c r="H20" s="10">
        <f t="shared" ref="H20:I29" si="9">+G20</f>
        <v>0</v>
      </c>
      <c r="I20" s="10">
        <f t="shared" si="9"/>
        <v>0</v>
      </c>
    </row>
    <row r="21" spans="1:9" ht="12.75" customHeight="1" x14ac:dyDescent="0.2">
      <c r="A21" s="245" t="s">
        <v>286</v>
      </c>
      <c r="B21" s="126" t="s">
        <v>2236</v>
      </c>
      <c r="C21" s="10">
        <v>0</v>
      </c>
      <c r="D21" s="10">
        <v>116.32</v>
      </c>
      <c r="E21" s="10">
        <v>0</v>
      </c>
      <c r="F21" s="10">
        <v>0</v>
      </c>
      <c r="G21" s="10">
        <v>0</v>
      </c>
      <c r="H21" s="10">
        <f t="shared" si="9"/>
        <v>0</v>
      </c>
      <c r="I21" s="10">
        <v>2500</v>
      </c>
    </row>
    <row r="22" spans="1:9" x14ac:dyDescent="0.2">
      <c r="A22" s="245" t="s">
        <v>2641</v>
      </c>
      <c r="B22" s="126" t="s">
        <v>2634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0">
        <v>0</v>
      </c>
      <c r="I22" s="10">
        <v>10059</v>
      </c>
    </row>
    <row r="23" spans="1:9" x14ac:dyDescent="0.2">
      <c r="A23" s="245" t="s">
        <v>287</v>
      </c>
      <c r="B23" s="126" t="s">
        <v>1889</v>
      </c>
      <c r="C23" s="10">
        <v>357.79</v>
      </c>
      <c r="D23" s="10">
        <v>821.35</v>
      </c>
      <c r="E23" s="10">
        <v>872.23</v>
      </c>
      <c r="F23" s="10">
        <v>950.69</v>
      </c>
      <c r="G23" s="10">
        <v>1043.1199999999999</v>
      </c>
      <c r="H23" s="10">
        <f>840+60</f>
        <v>900</v>
      </c>
      <c r="I23" s="10">
        <v>960</v>
      </c>
    </row>
    <row r="24" spans="1:9" x14ac:dyDescent="0.2">
      <c r="A24" s="248" t="s">
        <v>2388</v>
      </c>
      <c r="B24" s="126" t="s">
        <v>1956</v>
      </c>
      <c r="C24" s="10">
        <v>0</v>
      </c>
      <c r="D24" s="10">
        <v>0</v>
      </c>
      <c r="E24" s="10">
        <v>0</v>
      </c>
      <c r="F24" s="10">
        <v>0</v>
      </c>
      <c r="G24" s="10">
        <v>861.56</v>
      </c>
      <c r="H24" s="10">
        <f>800+2000+2000</f>
        <v>4800</v>
      </c>
      <c r="I24" s="10">
        <f>800+2000+2000</f>
        <v>4800</v>
      </c>
    </row>
    <row r="25" spans="1:9" x14ac:dyDescent="0.2">
      <c r="A25" s="245" t="s">
        <v>288</v>
      </c>
      <c r="B25" s="126" t="s">
        <v>1891</v>
      </c>
      <c r="C25" s="10">
        <v>3728.78</v>
      </c>
      <c r="D25" s="10">
        <v>3823.4</v>
      </c>
      <c r="E25" s="10">
        <v>4129.1000000000004</v>
      </c>
      <c r="F25" s="10">
        <v>4416.72</v>
      </c>
      <c r="G25" s="10">
        <v>7244.03</v>
      </c>
      <c r="H25" s="10">
        <v>10761</v>
      </c>
      <c r="I25" s="10">
        <v>12162</v>
      </c>
    </row>
    <row r="26" spans="1:9" x14ac:dyDescent="0.2">
      <c r="A26" s="245" t="s">
        <v>289</v>
      </c>
      <c r="B26" s="126" t="s">
        <v>1892</v>
      </c>
      <c r="C26" s="10">
        <v>6916.57</v>
      </c>
      <c r="D26" s="10">
        <v>7250.4</v>
      </c>
      <c r="E26" s="10">
        <v>7848.17</v>
      </c>
      <c r="F26" s="10">
        <v>8184.02</v>
      </c>
      <c r="G26" s="10">
        <v>12827.09</v>
      </c>
      <c r="H26" s="10">
        <v>17499</v>
      </c>
      <c r="I26" s="10">
        <v>19793</v>
      </c>
    </row>
    <row r="27" spans="1:9" x14ac:dyDescent="0.2">
      <c r="A27" s="245" t="s">
        <v>290</v>
      </c>
      <c r="B27" s="126" t="s">
        <v>1893</v>
      </c>
      <c r="C27" s="10">
        <v>13881.83</v>
      </c>
      <c r="D27" s="10">
        <v>15356.31</v>
      </c>
      <c r="E27" s="10">
        <v>12706.43</v>
      </c>
      <c r="F27" s="10">
        <v>7800</v>
      </c>
      <c r="G27" s="10">
        <v>9417.8700000000008</v>
      </c>
      <c r="H27" s="10">
        <f>15600+235</f>
        <v>15835</v>
      </c>
      <c r="I27" s="10">
        <v>15600</v>
      </c>
    </row>
    <row r="28" spans="1:9" x14ac:dyDescent="0.2">
      <c r="A28" s="245" t="s">
        <v>209</v>
      </c>
      <c r="B28" s="126" t="s">
        <v>1991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f t="shared" si="9"/>
        <v>0</v>
      </c>
      <c r="I28" s="10">
        <f t="shared" si="9"/>
        <v>0</v>
      </c>
    </row>
    <row r="29" spans="1:9" x14ac:dyDescent="0.2">
      <c r="A29" s="245" t="s">
        <v>1533</v>
      </c>
      <c r="B29" s="125" t="s">
        <v>2237</v>
      </c>
      <c r="C29" s="19">
        <v>0</v>
      </c>
      <c r="D29" s="19">
        <v>5218.53</v>
      </c>
      <c r="E29" s="19">
        <v>498</v>
      </c>
      <c r="F29" s="19">
        <v>0</v>
      </c>
      <c r="G29" s="19">
        <v>0</v>
      </c>
      <c r="H29" s="10">
        <f t="shared" si="9"/>
        <v>0</v>
      </c>
      <c r="I29" s="10">
        <f t="shared" si="9"/>
        <v>0</v>
      </c>
    </row>
    <row r="30" spans="1:9" ht="13.5" thickBot="1" x14ac:dyDescent="0.25">
      <c r="A30" s="245"/>
      <c r="B30" s="6" t="s">
        <v>1341</v>
      </c>
      <c r="C30" s="36">
        <f t="shared" ref="C30:I30" si="10">SUM(C19:C29)</f>
        <v>83585.64</v>
      </c>
      <c r="D30" s="36">
        <f t="shared" si="10"/>
        <v>92745.62999999999</v>
      </c>
      <c r="E30" s="36">
        <f t="shared" si="10"/>
        <v>88873.65</v>
      </c>
      <c r="F30" s="36">
        <f t="shared" si="10"/>
        <v>86178.53</v>
      </c>
      <c r="G30" s="36">
        <f t="shared" si="10"/>
        <v>132620.75</v>
      </c>
      <c r="H30" s="135">
        <f t="shared" si="10"/>
        <v>184764</v>
      </c>
      <c r="I30" s="135">
        <f t="shared" si="10"/>
        <v>206531</v>
      </c>
    </row>
    <row r="31" spans="1:9" ht="13.5" thickTop="1" x14ac:dyDescent="0.2">
      <c r="A31" s="245"/>
      <c r="B31" s="6"/>
      <c r="C31" s="10"/>
      <c r="D31" s="10"/>
      <c r="E31" s="10"/>
      <c r="F31" s="10"/>
      <c r="G31" s="10"/>
      <c r="H31" s="10"/>
      <c r="I31" s="10"/>
    </row>
    <row r="32" spans="1:9" x14ac:dyDescent="0.2">
      <c r="A32" s="245" t="s">
        <v>1433</v>
      </c>
      <c r="B32" s="4" t="s">
        <v>653</v>
      </c>
      <c r="C32" s="10"/>
      <c r="D32" s="10"/>
      <c r="E32" s="10"/>
      <c r="F32" s="10"/>
      <c r="G32" s="10"/>
      <c r="H32" s="10"/>
      <c r="I32" s="10"/>
    </row>
    <row r="33" spans="1:9" x14ac:dyDescent="0.2">
      <c r="A33" s="245"/>
      <c r="B33" s="4" t="s">
        <v>920</v>
      </c>
      <c r="C33" s="10"/>
      <c r="D33" s="10"/>
      <c r="E33" s="10"/>
      <c r="F33" s="10"/>
      <c r="G33" s="10"/>
      <c r="H33" s="10"/>
      <c r="I33" s="10"/>
    </row>
    <row r="34" spans="1:9" x14ac:dyDescent="0.2">
      <c r="A34" s="245" t="s">
        <v>1433</v>
      </c>
      <c r="B34" s="20" t="s">
        <v>1343</v>
      </c>
      <c r="C34" s="10"/>
      <c r="D34" s="10"/>
      <c r="E34" s="10"/>
      <c r="F34" s="10"/>
      <c r="G34" s="10"/>
      <c r="H34" s="10"/>
      <c r="I34" s="10"/>
    </row>
    <row r="35" spans="1:9" x14ac:dyDescent="0.2">
      <c r="A35" s="245"/>
      <c r="C35" s="129" t="str">
        <f t="shared" ref="C35:I35" si="11">+C4</f>
        <v>2018 ACTUAL</v>
      </c>
      <c r="D35" s="129" t="str">
        <f t="shared" si="11"/>
        <v>2019 ACTUAL</v>
      </c>
      <c r="E35" s="129" t="str">
        <f t="shared" si="11"/>
        <v>2020 ACTUAL</v>
      </c>
      <c r="F35" s="129" t="str">
        <f t="shared" si="11"/>
        <v>2021 ACTUAL</v>
      </c>
      <c r="G35" s="129" t="str">
        <f t="shared" si="11"/>
        <v>2022 ACTUAL</v>
      </c>
      <c r="H35" s="129" t="str">
        <f t="shared" si="11"/>
        <v xml:space="preserve">2023 BUDGET </v>
      </c>
      <c r="I35" s="129" t="str">
        <f t="shared" si="11"/>
        <v xml:space="preserve">2024 BUDGET </v>
      </c>
    </row>
    <row r="36" spans="1:9" x14ac:dyDescent="0.2">
      <c r="A36" s="245"/>
      <c r="C36" s="112"/>
      <c r="D36" s="112"/>
      <c r="E36" s="112"/>
      <c r="F36" s="112"/>
      <c r="G36" s="112"/>
      <c r="H36" s="112"/>
      <c r="I36" s="112"/>
    </row>
    <row r="37" spans="1:9" x14ac:dyDescent="0.2">
      <c r="A37" s="245"/>
      <c r="B37" t="s">
        <v>1344</v>
      </c>
      <c r="C37" s="10">
        <f>2+0.39</f>
        <v>2.39</v>
      </c>
      <c r="D37" s="10">
        <f t="shared" ref="D37:I37" si="12">C45</f>
        <v>9591.8599999999933</v>
      </c>
      <c r="E37" s="10">
        <f t="shared" si="12"/>
        <v>18697.250000000015</v>
      </c>
      <c r="F37" s="10">
        <f t="shared" si="12"/>
        <v>24629.010000000024</v>
      </c>
      <c r="G37" s="10">
        <f t="shared" si="12"/>
        <v>45815.090000000026</v>
      </c>
      <c r="H37" s="10">
        <f t="shared" si="12"/>
        <v>38240.050000000017</v>
      </c>
      <c r="I37" s="10">
        <f t="shared" si="12"/>
        <v>16496.050000000017</v>
      </c>
    </row>
    <row r="38" spans="1:9" x14ac:dyDescent="0.2">
      <c r="A38" s="245"/>
      <c r="C38" s="10"/>
      <c r="D38" s="10"/>
      <c r="E38" s="10"/>
      <c r="F38" s="10"/>
      <c r="G38" s="10"/>
      <c r="H38" s="10"/>
      <c r="I38" s="10"/>
    </row>
    <row r="39" spans="1:9" x14ac:dyDescent="0.2">
      <c r="A39" s="245"/>
      <c r="B39" t="s">
        <v>113</v>
      </c>
      <c r="C39" s="10">
        <f t="shared" ref="C39:I39" si="13">C16</f>
        <v>43175.109999999993</v>
      </c>
      <c r="D39" s="10">
        <f t="shared" si="13"/>
        <v>101851.02</v>
      </c>
      <c r="E39" s="10">
        <f t="shared" si="13"/>
        <v>94805.41</v>
      </c>
      <c r="F39" s="10">
        <f t="shared" si="13"/>
        <v>107364.61</v>
      </c>
      <c r="G39" s="10">
        <f t="shared" si="13"/>
        <v>125045.70999999999</v>
      </c>
      <c r="H39" s="10">
        <f t="shared" si="13"/>
        <v>163020</v>
      </c>
      <c r="I39" s="10">
        <f t="shared" si="13"/>
        <v>206020</v>
      </c>
    </row>
    <row r="40" spans="1:9" x14ac:dyDescent="0.2">
      <c r="A40" s="245"/>
      <c r="C40" s="10"/>
      <c r="D40" s="10"/>
      <c r="E40" s="10"/>
      <c r="F40" s="10"/>
      <c r="G40" s="10"/>
      <c r="H40" s="10"/>
      <c r="I40" s="10"/>
    </row>
    <row r="41" spans="1:9" x14ac:dyDescent="0.2">
      <c r="A41" s="245"/>
      <c r="B41" t="s">
        <v>1427</v>
      </c>
      <c r="C41" s="10">
        <f t="shared" ref="C41:G41" si="14">C30</f>
        <v>83585.64</v>
      </c>
      <c r="D41" s="10">
        <f t="shared" si="14"/>
        <v>92745.62999999999</v>
      </c>
      <c r="E41" s="10">
        <f t="shared" si="14"/>
        <v>88873.65</v>
      </c>
      <c r="F41" s="10">
        <f t="shared" si="14"/>
        <v>86178.53</v>
      </c>
      <c r="G41" s="10">
        <f t="shared" si="14"/>
        <v>132620.75</v>
      </c>
      <c r="H41" s="10">
        <f t="shared" ref="H41:I41" si="15">H30</f>
        <v>184764</v>
      </c>
      <c r="I41" s="10">
        <f t="shared" si="15"/>
        <v>206531</v>
      </c>
    </row>
    <row r="42" spans="1:9" x14ac:dyDescent="0.2">
      <c r="A42" s="245"/>
      <c r="C42" s="10"/>
      <c r="D42" s="10"/>
      <c r="E42" s="10"/>
      <c r="F42" s="10"/>
      <c r="G42" s="10"/>
      <c r="H42" s="10"/>
      <c r="I42" s="10"/>
    </row>
    <row r="43" spans="1:9" x14ac:dyDescent="0.2">
      <c r="A43" s="245"/>
      <c r="B43" t="s">
        <v>1140</v>
      </c>
      <c r="C43" s="12">
        <v>50000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</row>
    <row r="44" spans="1:9" x14ac:dyDescent="0.2">
      <c r="A44" s="245"/>
      <c r="C44" s="10"/>
      <c r="D44" s="10"/>
      <c r="E44" s="10"/>
      <c r="F44" s="10"/>
      <c r="G44" s="10"/>
      <c r="H44" s="10"/>
      <c r="I44" s="10"/>
    </row>
    <row r="45" spans="1:9" ht="13.5" thickBot="1" x14ac:dyDescent="0.25">
      <c r="A45" s="245"/>
      <c r="B45" t="s">
        <v>1348</v>
      </c>
      <c r="C45" s="36">
        <f t="shared" ref="C45:G45" si="16">C37+C39-C41+C43</f>
        <v>9591.8599999999933</v>
      </c>
      <c r="D45" s="36">
        <f t="shared" si="16"/>
        <v>18697.250000000015</v>
      </c>
      <c r="E45" s="36">
        <f>E37+E39-E41+E43</f>
        <v>24629.010000000024</v>
      </c>
      <c r="F45" s="36">
        <f t="shared" si="16"/>
        <v>45815.090000000026</v>
      </c>
      <c r="G45" s="36">
        <f t="shared" si="16"/>
        <v>38240.050000000017</v>
      </c>
      <c r="H45" s="36">
        <f t="shared" ref="H45:I45" si="17">H37+H39-H41+H43</f>
        <v>16496.050000000017</v>
      </c>
      <c r="I45" s="36">
        <f t="shared" si="17"/>
        <v>15985.050000000017</v>
      </c>
    </row>
    <row r="46" spans="1:9" ht="13.5" thickTop="1" x14ac:dyDescent="0.2"/>
    <row r="47" spans="1:9" x14ac:dyDescent="0.2">
      <c r="C47" s="120"/>
      <c r="D47" s="134"/>
      <c r="E47" s="120"/>
    </row>
  </sheetData>
  <phoneticPr fontId="2" type="noConversion"/>
  <pageMargins left="0.5" right="0.5" top="1" bottom="1" header="0.5" footer="0.5"/>
  <pageSetup scale="82" firstPageNumber="53" fitToHeight="0" orientation="portrait" useFirstPageNumber="1" r:id="rId1"/>
  <headerFooter alignWithMargins="0"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I124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3.285156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s="16" t="s">
        <v>1433</v>
      </c>
      <c r="B1" s="4" t="s">
        <v>653</v>
      </c>
      <c r="C1" s="1" t="s">
        <v>1433</v>
      </c>
      <c r="D1" s="1" t="s">
        <v>1433</v>
      </c>
      <c r="E1" s="1" t="s">
        <v>1433</v>
      </c>
      <c r="F1" s="1" t="s">
        <v>1433</v>
      </c>
      <c r="G1" s="1" t="s">
        <v>1433</v>
      </c>
    </row>
    <row r="2" spans="1:9" x14ac:dyDescent="0.2">
      <c r="A2" s="16"/>
      <c r="B2" s="4" t="s">
        <v>1213</v>
      </c>
      <c r="C2" s="1" t="s">
        <v>1554</v>
      </c>
      <c r="D2" s="1" t="s">
        <v>1554</v>
      </c>
      <c r="E2" s="1" t="s">
        <v>1554</v>
      </c>
      <c r="F2" s="1" t="s">
        <v>1554</v>
      </c>
      <c r="G2" s="1" t="s">
        <v>1554</v>
      </c>
    </row>
    <row r="3" spans="1:9" x14ac:dyDescent="0.2">
      <c r="A3" s="16"/>
      <c r="B3" s="4" t="s">
        <v>1433</v>
      </c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9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206" t="s">
        <v>2497</v>
      </c>
      <c r="B5" s="4" t="s">
        <v>313</v>
      </c>
    </row>
    <row r="6" spans="1:9" x14ac:dyDescent="0.2">
      <c r="A6" s="16" t="s">
        <v>461</v>
      </c>
      <c r="B6" s="125" t="s">
        <v>2239</v>
      </c>
      <c r="C6" s="10">
        <v>6754.95</v>
      </c>
      <c r="D6" s="10">
        <v>5910.12</v>
      </c>
      <c r="E6" s="10">
        <v>3809.09</v>
      </c>
      <c r="F6" s="10">
        <v>3734.19</v>
      </c>
      <c r="G6" s="10">
        <v>3944.55</v>
      </c>
      <c r="H6" s="10">
        <v>5000</v>
      </c>
      <c r="I6" s="10">
        <f>+H6</f>
        <v>5000</v>
      </c>
    </row>
    <row r="7" spans="1:9" x14ac:dyDescent="0.2">
      <c r="A7" s="16" t="s">
        <v>462</v>
      </c>
      <c r="B7" s="125" t="s">
        <v>1761</v>
      </c>
      <c r="C7" s="19">
        <v>279.14999999999998</v>
      </c>
      <c r="D7" s="19">
        <v>182.52</v>
      </c>
      <c r="E7" s="19">
        <v>180.54</v>
      </c>
      <c r="F7" s="19">
        <v>263.64999999999998</v>
      </c>
      <c r="G7" s="19">
        <v>182.8</v>
      </c>
      <c r="H7" s="10">
        <v>10</v>
      </c>
      <c r="I7" s="10">
        <f>+H7</f>
        <v>10</v>
      </c>
    </row>
    <row r="8" spans="1:9" ht="13.5" thickBot="1" x14ac:dyDescent="0.25">
      <c r="A8" s="16"/>
      <c r="B8" s="6" t="s">
        <v>137</v>
      </c>
      <c r="C8" s="135">
        <f t="shared" ref="C8:G8" si="0">SUM(C6:C7)</f>
        <v>7034.0999999999995</v>
      </c>
      <c r="D8" s="135">
        <f t="shared" si="0"/>
        <v>6092.64</v>
      </c>
      <c r="E8" s="135">
        <f t="shared" si="0"/>
        <v>3989.63</v>
      </c>
      <c r="F8" s="135">
        <f t="shared" si="0"/>
        <v>3997.84</v>
      </c>
      <c r="G8" s="135">
        <f t="shared" si="0"/>
        <v>4127.3500000000004</v>
      </c>
      <c r="H8" s="135">
        <f t="shared" ref="H8:I8" si="1">SUM(H6:H7)</f>
        <v>5010</v>
      </c>
      <c r="I8" s="135">
        <f t="shared" si="1"/>
        <v>5010</v>
      </c>
    </row>
    <row r="9" spans="1:9" ht="13.5" thickTop="1" x14ac:dyDescent="0.2">
      <c r="A9" s="16"/>
      <c r="C9" s="10"/>
      <c r="D9" s="10"/>
      <c r="E9" s="10"/>
      <c r="F9" s="10"/>
      <c r="G9" s="10"/>
      <c r="H9" s="10"/>
      <c r="I9" s="10"/>
    </row>
    <row r="10" spans="1:9" x14ac:dyDescent="0.2">
      <c r="A10" s="198" t="s">
        <v>2498</v>
      </c>
      <c r="B10" s="4" t="s">
        <v>861</v>
      </c>
      <c r="C10" s="10"/>
      <c r="D10" s="10"/>
      <c r="E10" s="10"/>
      <c r="F10" s="10"/>
      <c r="G10" s="10"/>
      <c r="H10" s="10"/>
      <c r="I10" s="10"/>
    </row>
    <row r="11" spans="1:9" x14ac:dyDescent="0.2">
      <c r="A11" s="16" t="s">
        <v>58</v>
      </c>
      <c r="B11" s="126" t="s">
        <v>1958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</row>
    <row r="12" spans="1:9" x14ac:dyDescent="0.2">
      <c r="A12" s="16" t="s">
        <v>59</v>
      </c>
      <c r="B12" s="126" t="s">
        <v>1891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</row>
    <row r="13" spans="1:9" x14ac:dyDescent="0.2">
      <c r="A13" s="16" t="s">
        <v>60</v>
      </c>
      <c r="B13" s="126" t="s">
        <v>1892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</row>
    <row r="14" spans="1:9" x14ac:dyDescent="0.2">
      <c r="A14" s="16" t="s">
        <v>921</v>
      </c>
      <c r="B14" s="125" t="s">
        <v>2237</v>
      </c>
      <c r="C14" s="17">
        <v>0</v>
      </c>
      <c r="D14" s="17">
        <v>0</v>
      </c>
      <c r="E14" s="17">
        <v>0</v>
      </c>
      <c r="F14" s="17">
        <v>0</v>
      </c>
      <c r="G14" s="17">
        <v>57363</v>
      </c>
      <c r="H14" s="17">
        <v>0</v>
      </c>
      <c r="I14" s="17">
        <v>0</v>
      </c>
    </row>
    <row r="15" spans="1:9" x14ac:dyDescent="0.2">
      <c r="A15" s="16" t="s">
        <v>90</v>
      </c>
      <c r="B15" s="125" t="s">
        <v>1878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2000</v>
      </c>
      <c r="I15" s="19">
        <v>2000</v>
      </c>
    </row>
    <row r="16" spans="1:9" ht="13.5" thickBot="1" x14ac:dyDescent="0.25">
      <c r="A16" s="16"/>
      <c r="B16" s="6" t="s">
        <v>1341</v>
      </c>
      <c r="C16" s="36">
        <f t="shared" ref="C16:G16" si="2">SUM(C11:C15)</f>
        <v>0</v>
      </c>
      <c r="D16" s="36">
        <f t="shared" si="2"/>
        <v>0</v>
      </c>
      <c r="E16" s="36">
        <f t="shared" si="2"/>
        <v>0</v>
      </c>
      <c r="F16" s="36">
        <f t="shared" si="2"/>
        <v>0</v>
      </c>
      <c r="G16" s="36">
        <f t="shared" si="2"/>
        <v>57363</v>
      </c>
      <c r="H16" s="36">
        <f t="shared" ref="H16:I16" si="3">SUM(H11:H15)</f>
        <v>2000</v>
      </c>
      <c r="I16" s="36">
        <f t="shared" si="3"/>
        <v>2000</v>
      </c>
    </row>
    <row r="17" spans="1:9" ht="13.5" thickTop="1" x14ac:dyDescent="0.2">
      <c r="A17" s="16"/>
      <c r="B17" s="6"/>
      <c r="C17" s="10"/>
      <c r="D17" s="10"/>
      <c r="E17" s="10"/>
      <c r="F17" s="10"/>
      <c r="G17" s="10"/>
      <c r="H17" s="10"/>
      <c r="I17" s="10"/>
    </row>
    <row r="18" spans="1:9" x14ac:dyDescent="0.2">
      <c r="A18" s="16"/>
      <c r="B18" s="4" t="s">
        <v>653</v>
      </c>
      <c r="C18" s="10"/>
      <c r="D18" s="10"/>
      <c r="E18" s="10"/>
      <c r="F18" s="10"/>
      <c r="G18" s="10"/>
      <c r="H18" s="10"/>
      <c r="I18" s="10"/>
    </row>
    <row r="19" spans="1:9" x14ac:dyDescent="0.2">
      <c r="A19" s="16"/>
      <c r="B19" s="4" t="s">
        <v>1214</v>
      </c>
      <c r="C19" s="10"/>
      <c r="D19" s="10"/>
      <c r="E19" s="10"/>
      <c r="F19" s="10"/>
      <c r="G19" s="10"/>
      <c r="H19" s="10"/>
      <c r="I19" s="10"/>
    </row>
    <row r="20" spans="1:9" x14ac:dyDescent="0.2">
      <c r="A20" s="16"/>
      <c r="B20" s="20" t="s">
        <v>1343</v>
      </c>
      <c r="C20" s="10"/>
      <c r="D20" s="10"/>
      <c r="E20" s="10"/>
      <c r="F20" s="10"/>
      <c r="G20" s="10"/>
      <c r="H20" s="10"/>
      <c r="I20" s="10"/>
    </row>
    <row r="21" spans="1:9" x14ac:dyDescent="0.2">
      <c r="A21" s="16" t="s">
        <v>1433</v>
      </c>
      <c r="C21" s="129" t="str">
        <f t="shared" ref="C21:G21" si="4">+C4</f>
        <v>2018 ACTUAL</v>
      </c>
      <c r="D21" s="129" t="str">
        <f t="shared" si="4"/>
        <v>2019 ACTUAL</v>
      </c>
      <c r="E21" s="129" t="str">
        <f t="shared" si="4"/>
        <v>2020 ACTUAL</v>
      </c>
      <c r="F21" s="129" t="str">
        <f t="shared" si="4"/>
        <v>2021 ACTUAL</v>
      </c>
      <c r="G21" s="129" t="str">
        <f t="shared" si="4"/>
        <v>2022 ACTUAL</v>
      </c>
      <c r="H21" s="129" t="str">
        <f t="shared" ref="H21:I21" si="5">+H4</f>
        <v xml:space="preserve">2023 BUDGET </v>
      </c>
      <c r="I21" s="129" t="str">
        <f t="shared" si="5"/>
        <v xml:space="preserve">2024 BUDGET </v>
      </c>
    </row>
    <row r="22" spans="1:9" x14ac:dyDescent="0.2">
      <c r="A22" s="16"/>
      <c r="C22" s="112"/>
      <c r="D22" s="112"/>
      <c r="E22" s="112"/>
      <c r="F22" s="112"/>
      <c r="G22" s="112"/>
      <c r="H22" s="112"/>
      <c r="I22" s="112"/>
    </row>
    <row r="23" spans="1:9" x14ac:dyDescent="0.2">
      <c r="A23" s="16" t="s">
        <v>1433</v>
      </c>
      <c r="B23" t="s">
        <v>1344</v>
      </c>
      <c r="C23" s="10">
        <v>71113.03</v>
      </c>
      <c r="D23" s="10">
        <f t="shared" ref="D23:I23" si="6">C31</f>
        <v>78147.13</v>
      </c>
      <c r="E23" s="10">
        <f t="shared" si="6"/>
        <v>84239.77</v>
      </c>
      <c r="F23" s="10">
        <f t="shared" si="6"/>
        <v>88229.400000000009</v>
      </c>
      <c r="G23" s="10">
        <f t="shared" si="6"/>
        <v>92227.24</v>
      </c>
      <c r="H23" s="10">
        <f t="shared" si="6"/>
        <v>38991.590000000011</v>
      </c>
      <c r="I23" s="10">
        <f t="shared" si="6"/>
        <v>42001.590000000011</v>
      </c>
    </row>
    <row r="24" spans="1:9" x14ac:dyDescent="0.2">
      <c r="A24" s="16"/>
      <c r="C24" s="10"/>
      <c r="D24" s="10"/>
      <c r="E24" s="10"/>
      <c r="F24" s="10"/>
      <c r="G24" s="10"/>
      <c r="H24" s="10"/>
      <c r="I24" s="10"/>
    </row>
    <row r="25" spans="1:9" x14ac:dyDescent="0.2">
      <c r="A25" s="16"/>
      <c r="B25" t="s">
        <v>113</v>
      </c>
      <c r="C25" s="10">
        <f t="shared" ref="C25:G25" si="7">C8</f>
        <v>7034.0999999999995</v>
      </c>
      <c r="D25" s="10">
        <f t="shared" si="7"/>
        <v>6092.64</v>
      </c>
      <c r="E25" s="10">
        <f t="shared" si="7"/>
        <v>3989.63</v>
      </c>
      <c r="F25" s="10">
        <f t="shared" si="7"/>
        <v>3997.84</v>
      </c>
      <c r="G25" s="10">
        <f t="shared" si="7"/>
        <v>4127.3500000000004</v>
      </c>
      <c r="H25" s="10">
        <f t="shared" ref="H25:I25" si="8">H8</f>
        <v>5010</v>
      </c>
      <c r="I25" s="10">
        <f t="shared" si="8"/>
        <v>5010</v>
      </c>
    </row>
    <row r="26" spans="1:9" x14ac:dyDescent="0.2">
      <c r="A26" s="16"/>
      <c r="C26" s="10"/>
      <c r="D26" s="10"/>
      <c r="E26" s="10"/>
      <c r="F26" s="10"/>
      <c r="G26" s="10"/>
      <c r="H26" s="10"/>
      <c r="I26" s="10"/>
    </row>
    <row r="27" spans="1:9" x14ac:dyDescent="0.2">
      <c r="A27" s="16"/>
      <c r="B27" t="s">
        <v>1427</v>
      </c>
      <c r="C27" s="10">
        <f t="shared" ref="C27:G27" si="9">C16</f>
        <v>0</v>
      </c>
      <c r="D27" s="10">
        <f t="shared" si="9"/>
        <v>0</v>
      </c>
      <c r="E27" s="10">
        <f t="shared" si="9"/>
        <v>0</v>
      </c>
      <c r="F27" s="10">
        <f t="shared" si="9"/>
        <v>0</v>
      </c>
      <c r="G27" s="10">
        <f t="shared" si="9"/>
        <v>57363</v>
      </c>
      <c r="H27" s="10">
        <f t="shared" ref="H27:I27" si="10">H16</f>
        <v>2000</v>
      </c>
      <c r="I27" s="10">
        <f t="shared" si="10"/>
        <v>2000</v>
      </c>
    </row>
    <row r="28" spans="1:9" x14ac:dyDescent="0.2">
      <c r="A28" s="16"/>
      <c r="C28" s="10"/>
      <c r="D28" s="10"/>
      <c r="E28" s="10"/>
      <c r="F28" s="10"/>
      <c r="G28" s="10"/>
      <c r="H28" s="10"/>
      <c r="I28" s="10"/>
    </row>
    <row r="29" spans="1:9" x14ac:dyDescent="0.2">
      <c r="A29" s="16"/>
      <c r="B29" t="s">
        <v>1140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x14ac:dyDescent="0.2">
      <c r="A30" s="16"/>
      <c r="C30" s="10"/>
      <c r="D30" s="10"/>
      <c r="E30" s="10"/>
      <c r="F30" s="10"/>
      <c r="G30" s="10"/>
      <c r="H30" s="10"/>
      <c r="I30" s="10"/>
    </row>
    <row r="31" spans="1:9" ht="13.5" thickBot="1" x14ac:dyDescent="0.25">
      <c r="A31" s="16"/>
      <c r="B31" t="s">
        <v>1348</v>
      </c>
      <c r="C31" s="36">
        <f t="shared" ref="C31:G31" si="11">C23+C25-C27+C29</f>
        <v>78147.13</v>
      </c>
      <c r="D31" s="36">
        <f t="shared" si="11"/>
        <v>84239.77</v>
      </c>
      <c r="E31" s="36">
        <f t="shared" si="11"/>
        <v>88229.400000000009</v>
      </c>
      <c r="F31" s="36">
        <f t="shared" si="11"/>
        <v>92227.24</v>
      </c>
      <c r="G31" s="36">
        <f t="shared" si="11"/>
        <v>38991.590000000011</v>
      </c>
      <c r="H31" s="36">
        <f t="shared" ref="H31:I31" si="12">H23+H25-H27+H29</f>
        <v>42001.590000000011</v>
      </c>
      <c r="I31" s="36">
        <f t="shared" si="12"/>
        <v>45011.590000000011</v>
      </c>
    </row>
    <row r="32" spans="1:9" ht="13.5" thickTop="1" x14ac:dyDescent="0.2"/>
    <row r="124" spans="3:7" x14ac:dyDescent="0.2">
      <c r="C124" s="9"/>
      <c r="D124" s="9"/>
      <c r="E124" s="9"/>
      <c r="F124" s="9"/>
      <c r="G124" s="9"/>
    </row>
  </sheetData>
  <phoneticPr fontId="2" type="noConversion"/>
  <pageMargins left="0.5" right="0.5" top="1" bottom="1" header="0.5" footer="0.5"/>
  <pageSetup scale="82" firstPageNumber="54" fitToHeight="0" orientation="portrait" useFirstPageNumber="1" r:id="rId1"/>
  <headerFooter alignWithMargins="0"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I120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3.285156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s="16" t="s">
        <v>1433</v>
      </c>
      <c r="B1" s="4" t="s">
        <v>653</v>
      </c>
      <c r="C1" s="1" t="s">
        <v>1433</v>
      </c>
      <c r="D1" s="1" t="s">
        <v>1433</v>
      </c>
      <c r="E1" s="1" t="s">
        <v>1433</v>
      </c>
      <c r="F1" s="1" t="s">
        <v>1433</v>
      </c>
      <c r="G1" s="1" t="s">
        <v>1433</v>
      </c>
    </row>
    <row r="2" spans="1:9" x14ac:dyDescent="0.2">
      <c r="A2" s="16"/>
      <c r="B2" s="4" t="s">
        <v>300</v>
      </c>
      <c r="C2" s="1" t="s">
        <v>1554</v>
      </c>
      <c r="D2" s="1" t="s">
        <v>1554</v>
      </c>
      <c r="E2" s="1" t="s">
        <v>1554</v>
      </c>
      <c r="F2" s="1" t="s">
        <v>1554</v>
      </c>
      <c r="G2" s="1" t="s">
        <v>1554</v>
      </c>
    </row>
    <row r="3" spans="1:9" x14ac:dyDescent="0.2">
      <c r="A3" s="16"/>
      <c r="B3" s="4" t="s">
        <v>1433</v>
      </c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9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206" t="s">
        <v>2499</v>
      </c>
      <c r="B5" s="4" t="s">
        <v>313</v>
      </c>
    </row>
    <row r="6" spans="1:9" x14ac:dyDescent="0.2">
      <c r="A6" s="16" t="s">
        <v>301</v>
      </c>
      <c r="B6" s="125" t="s">
        <v>1843</v>
      </c>
      <c r="C6" s="10">
        <v>4630</v>
      </c>
      <c r="D6" s="10">
        <v>4920</v>
      </c>
      <c r="E6" s="10">
        <v>5560</v>
      </c>
      <c r="F6" s="10">
        <v>6300</v>
      </c>
      <c r="G6" s="10">
        <v>6720</v>
      </c>
      <c r="H6" s="10">
        <v>5000</v>
      </c>
      <c r="I6" s="10">
        <f>+H6</f>
        <v>5000</v>
      </c>
    </row>
    <row r="7" spans="1:9" x14ac:dyDescent="0.2">
      <c r="A7" s="16" t="s">
        <v>302</v>
      </c>
      <c r="B7" s="125" t="s">
        <v>1761</v>
      </c>
      <c r="C7" s="19">
        <v>134.62</v>
      </c>
      <c r="D7" s="19">
        <v>91.14</v>
      </c>
      <c r="E7" s="19">
        <v>94.84</v>
      </c>
      <c r="F7" s="19">
        <v>151.62</v>
      </c>
      <c r="G7" s="19">
        <v>165.89</v>
      </c>
      <c r="H7" s="10">
        <v>10</v>
      </c>
      <c r="I7" s="10">
        <f>+H7</f>
        <v>10</v>
      </c>
    </row>
    <row r="8" spans="1:9" ht="13.5" thickBot="1" x14ac:dyDescent="0.25">
      <c r="A8" s="16"/>
      <c r="B8" s="6" t="s">
        <v>137</v>
      </c>
      <c r="C8" s="135">
        <f t="shared" ref="C8:G8" si="0">SUM(C6:C7)</f>
        <v>4764.62</v>
      </c>
      <c r="D8" s="135">
        <f t="shared" si="0"/>
        <v>5011.1400000000003</v>
      </c>
      <c r="E8" s="135">
        <f t="shared" si="0"/>
        <v>5654.84</v>
      </c>
      <c r="F8" s="135">
        <f t="shared" si="0"/>
        <v>6451.62</v>
      </c>
      <c r="G8" s="135">
        <f t="shared" si="0"/>
        <v>6885.89</v>
      </c>
      <c r="H8" s="135">
        <f t="shared" ref="H8:I8" si="1">SUM(H6:H7)</f>
        <v>5010</v>
      </c>
      <c r="I8" s="135">
        <f t="shared" si="1"/>
        <v>5010</v>
      </c>
    </row>
    <row r="9" spans="1:9" ht="13.5" thickTop="1" x14ac:dyDescent="0.2">
      <c r="A9" s="16"/>
      <c r="C9" s="10"/>
      <c r="D9" s="10"/>
      <c r="E9" s="10"/>
      <c r="F9" s="10"/>
      <c r="G9" s="10"/>
      <c r="H9" s="10"/>
      <c r="I9" s="10"/>
    </row>
    <row r="10" spans="1:9" x14ac:dyDescent="0.2">
      <c r="A10" s="198" t="s">
        <v>2500</v>
      </c>
      <c r="B10" s="4" t="s">
        <v>861</v>
      </c>
      <c r="C10" s="10"/>
      <c r="D10" s="10"/>
      <c r="E10" s="10"/>
      <c r="F10" s="10"/>
      <c r="G10" s="10"/>
      <c r="H10" s="10"/>
      <c r="I10" s="10"/>
    </row>
    <row r="11" spans="1:9" x14ac:dyDescent="0.2">
      <c r="A11" s="16" t="s">
        <v>303</v>
      </c>
      <c r="B11" s="125" t="s">
        <v>2240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0">
        <v>4300</v>
      </c>
      <c r="I11" s="10">
        <v>15000</v>
      </c>
    </row>
    <row r="12" spans="1:9" ht="13.5" thickBot="1" x14ac:dyDescent="0.25">
      <c r="A12" s="16"/>
      <c r="B12" s="6" t="s">
        <v>1341</v>
      </c>
      <c r="C12" s="36">
        <f t="shared" ref="C12:G12" si="2">SUM(C11:C11)</f>
        <v>0</v>
      </c>
      <c r="D12" s="36">
        <f t="shared" si="2"/>
        <v>0</v>
      </c>
      <c r="E12" s="36">
        <f t="shared" si="2"/>
        <v>0</v>
      </c>
      <c r="F12" s="36">
        <f t="shared" si="2"/>
        <v>0</v>
      </c>
      <c r="G12" s="36">
        <f t="shared" si="2"/>
        <v>0</v>
      </c>
      <c r="H12" s="135">
        <f t="shared" ref="H12:I12" si="3">SUM(H11:H11)</f>
        <v>4300</v>
      </c>
      <c r="I12" s="135">
        <f t="shared" si="3"/>
        <v>15000</v>
      </c>
    </row>
    <row r="13" spans="1:9" ht="13.5" thickTop="1" x14ac:dyDescent="0.2">
      <c r="A13" s="16"/>
      <c r="B13" s="6"/>
      <c r="C13" s="10"/>
      <c r="D13" s="10"/>
      <c r="E13" s="10"/>
      <c r="F13" s="10"/>
      <c r="G13" s="10"/>
      <c r="H13" s="10"/>
      <c r="I13" s="10"/>
    </row>
    <row r="14" spans="1:9" x14ac:dyDescent="0.2">
      <c r="A14" s="16"/>
      <c r="B14" s="4" t="s">
        <v>653</v>
      </c>
      <c r="C14" s="10"/>
      <c r="D14" s="10"/>
      <c r="E14" s="10"/>
      <c r="F14" s="10"/>
      <c r="G14" s="10"/>
      <c r="H14" s="10"/>
      <c r="I14" s="10"/>
    </row>
    <row r="15" spans="1:9" x14ac:dyDescent="0.2">
      <c r="A15" s="16"/>
      <c r="B15" s="4" t="s">
        <v>300</v>
      </c>
      <c r="C15" s="10"/>
      <c r="D15" s="10"/>
      <c r="E15" s="10"/>
      <c r="F15" s="10"/>
      <c r="G15" s="10"/>
      <c r="H15" s="10"/>
      <c r="I15" s="10"/>
    </row>
    <row r="16" spans="1:9" x14ac:dyDescent="0.2">
      <c r="A16" s="16"/>
      <c r="B16" s="20" t="s">
        <v>1343</v>
      </c>
      <c r="C16" s="10"/>
      <c r="D16" s="10"/>
      <c r="E16" s="10"/>
      <c r="F16" s="10"/>
      <c r="G16" s="10"/>
      <c r="H16" s="10"/>
      <c r="I16" s="10"/>
    </row>
    <row r="17" spans="1:9" x14ac:dyDescent="0.2">
      <c r="A17" s="16" t="s">
        <v>1433</v>
      </c>
      <c r="C17" s="129" t="str">
        <f t="shared" ref="C17:G17" si="4">+C4</f>
        <v>2018 ACTUAL</v>
      </c>
      <c r="D17" s="129" t="str">
        <f t="shared" si="4"/>
        <v>2019 ACTUAL</v>
      </c>
      <c r="E17" s="129" t="str">
        <f t="shared" si="4"/>
        <v>2020 ACTUAL</v>
      </c>
      <c r="F17" s="129" t="str">
        <f t="shared" si="4"/>
        <v>2021 ACTUAL</v>
      </c>
      <c r="G17" s="129" t="str">
        <f t="shared" si="4"/>
        <v>2022 ACTUAL</v>
      </c>
      <c r="H17" s="129" t="str">
        <f t="shared" ref="H17:I17" si="5">+H4</f>
        <v xml:space="preserve">2023 BUDGET </v>
      </c>
      <c r="I17" s="129" t="str">
        <f t="shared" si="5"/>
        <v xml:space="preserve">2024 BUDGET </v>
      </c>
    </row>
    <row r="18" spans="1:9" x14ac:dyDescent="0.2">
      <c r="A18" s="16"/>
      <c r="C18" s="112"/>
      <c r="D18" s="112"/>
      <c r="E18" s="112"/>
      <c r="F18" s="112"/>
      <c r="G18" s="112"/>
      <c r="H18" s="112"/>
      <c r="I18" s="112"/>
    </row>
    <row r="19" spans="1:9" x14ac:dyDescent="0.2">
      <c r="A19" s="16" t="s">
        <v>1433</v>
      </c>
      <c r="B19" t="s">
        <v>1344</v>
      </c>
      <c r="C19" s="10">
        <v>33390.730000000003</v>
      </c>
      <c r="D19" s="10">
        <f t="shared" ref="D19:I19" si="6">C27</f>
        <v>38155.350000000006</v>
      </c>
      <c r="E19" s="10">
        <f t="shared" si="6"/>
        <v>43166.490000000005</v>
      </c>
      <c r="F19" s="10">
        <f t="shared" si="6"/>
        <v>48821.33</v>
      </c>
      <c r="G19" s="10">
        <f t="shared" si="6"/>
        <v>55272.950000000004</v>
      </c>
      <c r="H19" s="10">
        <f t="shared" si="6"/>
        <v>62158.840000000004</v>
      </c>
      <c r="I19" s="10">
        <f t="shared" si="6"/>
        <v>62868.84</v>
      </c>
    </row>
    <row r="20" spans="1:9" x14ac:dyDescent="0.2">
      <c r="A20" s="16"/>
      <c r="C20" s="10"/>
      <c r="D20" s="10"/>
      <c r="E20" s="10"/>
      <c r="F20" s="10"/>
      <c r="G20" s="10"/>
      <c r="H20" s="10"/>
      <c r="I20" s="10"/>
    </row>
    <row r="21" spans="1:9" x14ac:dyDescent="0.2">
      <c r="A21" s="16"/>
      <c r="B21" t="s">
        <v>113</v>
      </c>
      <c r="C21" s="10">
        <f t="shared" ref="C21:G21" si="7">C8</f>
        <v>4764.62</v>
      </c>
      <c r="D21" s="10">
        <f t="shared" si="7"/>
        <v>5011.1400000000003</v>
      </c>
      <c r="E21" s="10">
        <f t="shared" si="7"/>
        <v>5654.84</v>
      </c>
      <c r="F21" s="10">
        <f t="shared" si="7"/>
        <v>6451.62</v>
      </c>
      <c r="G21" s="10">
        <f t="shared" si="7"/>
        <v>6885.89</v>
      </c>
      <c r="H21" s="10">
        <f t="shared" ref="H21:I21" si="8">H8</f>
        <v>5010</v>
      </c>
      <c r="I21" s="10">
        <f t="shared" si="8"/>
        <v>5010</v>
      </c>
    </row>
    <row r="22" spans="1:9" x14ac:dyDescent="0.2">
      <c r="A22" s="16"/>
      <c r="C22" s="10"/>
      <c r="D22" s="10"/>
      <c r="E22" s="10"/>
      <c r="F22" s="10"/>
      <c r="G22" s="10"/>
      <c r="H22" s="10"/>
      <c r="I22" s="10"/>
    </row>
    <row r="23" spans="1:9" x14ac:dyDescent="0.2">
      <c r="A23" s="16"/>
      <c r="B23" t="s">
        <v>1427</v>
      </c>
      <c r="C23" s="10">
        <f t="shared" ref="C23:G23" si="9">C12</f>
        <v>0</v>
      </c>
      <c r="D23" s="10">
        <f t="shared" si="9"/>
        <v>0</v>
      </c>
      <c r="E23" s="10">
        <f t="shared" si="9"/>
        <v>0</v>
      </c>
      <c r="F23" s="10">
        <f t="shared" si="9"/>
        <v>0</v>
      </c>
      <c r="G23" s="10">
        <f t="shared" si="9"/>
        <v>0</v>
      </c>
      <c r="H23" s="10">
        <f t="shared" ref="H23:I23" si="10">H12</f>
        <v>4300</v>
      </c>
      <c r="I23" s="10">
        <f t="shared" si="10"/>
        <v>15000</v>
      </c>
    </row>
    <row r="24" spans="1:9" x14ac:dyDescent="0.2">
      <c r="A24" s="16"/>
      <c r="C24" s="10"/>
      <c r="D24" s="10"/>
      <c r="E24" s="10"/>
      <c r="F24" s="10"/>
      <c r="G24" s="10"/>
      <c r="H24" s="10"/>
      <c r="I24" s="10"/>
    </row>
    <row r="25" spans="1:9" x14ac:dyDescent="0.2">
      <c r="A25" s="16"/>
      <c r="B25" t="s">
        <v>1140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x14ac:dyDescent="0.2">
      <c r="A26" s="16"/>
      <c r="C26" s="10"/>
      <c r="D26" s="10"/>
      <c r="E26" s="10"/>
      <c r="F26" s="10"/>
      <c r="G26" s="10"/>
      <c r="H26" s="10"/>
      <c r="I26" s="10"/>
    </row>
    <row r="27" spans="1:9" ht="13.5" thickBot="1" x14ac:dyDescent="0.25">
      <c r="A27" s="16"/>
      <c r="B27" t="s">
        <v>1348</v>
      </c>
      <c r="C27" s="36">
        <f t="shared" ref="C27:G27" si="11">C19+C21-C23+C25</f>
        <v>38155.350000000006</v>
      </c>
      <c r="D27" s="36">
        <f t="shared" si="11"/>
        <v>43166.490000000005</v>
      </c>
      <c r="E27" s="36">
        <f t="shared" si="11"/>
        <v>48821.33</v>
      </c>
      <c r="F27" s="36">
        <f t="shared" si="11"/>
        <v>55272.950000000004</v>
      </c>
      <c r="G27" s="36">
        <f t="shared" si="11"/>
        <v>62158.840000000004</v>
      </c>
      <c r="H27" s="36">
        <f t="shared" ref="H27:I27" si="12">H19+H21-H23+H25</f>
        <v>62868.84</v>
      </c>
      <c r="I27" s="36">
        <f t="shared" si="12"/>
        <v>52878.84</v>
      </c>
    </row>
    <row r="28" spans="1:9" ht="13.5" thickTop="1" x14ac:dyDescent="0.2"/>
    <row r="120" spans="3:7" x14ac:dyDescent="0.2">
      <c r="C120" s="9"/>
      <c r="D120" s="9"/>
      <c r="E120" s="9"/>
      <c r="F120" s="9"/>
      <c r="G120" s="9"/>
    </row>
  </sheetData>
  <phoneticPr fontId="2" type="noConversion"/>
  <pageMargins left="0.5" right="0.5" top="1" bottom="1" header="0.5" footer="0.5"/>
  <pageSetup scale="82" firstPageNumber="55" fitToHeight="0" orientation="portrait" useFirstPageNumber="1" r:id="rId1"/>
  <headerFooter alignWithMargins="0"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J40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3.285156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s="16" t="s">
        <v>1433</v>
      </c>
      <c r="B1" s="4" t="s">
        <v>653</v>
      </c>
      <c r="C1" s="1" t="s">
        <v>1433</v>
      </c>
      <c r="D1" s="1" t="s">
        <v>1433</v>
      </c>
      <c r="E1" s="1" t="s">
        <v>1433</v>
      </c>
      <c r="F1" s="1" t="s">
        <v>1433</v>
      </c>
      <c r="G1" s="1" t="s">
        <v>1433</v>
      </c>
    </row>
    <row r="2" spans="1:9" x14ac:dyDescent="0.2">
      <c r="A2" s="16"/>
      <c r="B2" s="4" t="s">
        <v>789</v>
      </c>
      <c r="C2" s="1" t="s">
        <v>1554</v>
      </c>
      <c r="D2" s="1" t="s">
        <v>1554</v>
      </c>
      <c r="E2" s="1" t="s">
        <v>1554</v>
      </c>
      <c r="F2" s="1" t="s">
        <v>1554</v>
      </c>
      <c r="G2" s="1" t="s">
        <v>1554</v>
      </c>
    </row>
    <row r="3" spans="1:9" x14ac:dyDescent="0.2">
      <c r="A3" s="16"/>
      <c r="B3" s="4" t="s">
        <v>1433</v>
      </c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9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198" t="s">
        <v>2501</v>
      </c>
      <c r="B5" s="4" t="s">
        <v>313</v>
      </c>
    </row>
    <row r="6" spans="1:9" x14ac:dyDescent="0.2">
      <c r="A6" s="16" t="s">
        <v>996</v>
      </c>
      <c r="B6" s="125" t="s">
        <v>2241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x14ac:dyDescent="0.2">
      <c r="A7" s="16" t="s">
        <v>924</v>
      </c>
      <c r="B7" s="126" t="s">
        <v>2242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x14ac:dyDescent="0.2">
      <c r="A8" s="16" t="s">
        <v>1713</v>
      </c>
      <c r="B8" s="126" t="s">
        <v>1761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3.5" thickBot="1" x14ac:dyDescent="0.25">
      <c r="A9" s="16"/>
      <c r="B9" s="6" t="s">
        <v>137</v>
      </c>
      <c r="C9" s="135">
        <f t="shared" ref="C9:G9" si="0">SUM(C6:C8)</f>
        <v>0</v>
      </c>
      <c r="D9" s="135">
        <f t="shared" si="0"/>
        <v>0</v>
      </c>
      <c r="E9" s="135">
        <f t="shared" si="0"/>
        <v>0</v>
      </c>
      <c r="F9" s="135">
        <f t="shared" si="0"/>
        <v>0</v>
      </c>
      <c r="G9" s="135">
        <f t="shared" si="0"/>
        <v>0</v>
      </c>
      <c r="H9" s="135">
        <f t="shared" ref="H9:I9" si="1">SUM(H6:H8)</f>
        <v>0</v>
      </c>
      <c r="I9" s="135">
        <f t="shared" si="1"/>
        <v>0</v>
      </c>
    </row>
    <row r="10" spans="1:9" ht="13.5" thickTop="1" x14ac:dyDescent="0.2">
      <c r="A10" s="16"/>
      <c r="C10" s="10"/>
      <c r="D10" s="10"/>
      <c r="E10" s="10"/>
      <c r="F10" s="10"/>
      <c r="G10" s="10"/>
      <c r="H10" s="10"/>
      <c r="I10" s="10"/>
    </row>
    <row r="11" spans="1:9" x14ac:dyDescent="0.2">
      <c r="A11" s="198" t="s">
        <v>2501</v>
      </c>
      <c r="B11" s="4" t="s">
        <v>861</v>
      </c>
      <c r="C11" s="10"/>
      <c r="D11" s="10"/>
      <c r="E11" s="10"/>
      <c r="F11" s="10"/>
      <c r="G11" s="10"/>
      <c r="H11" s="10"/>
      <c r="I11" s="10"/>
    </row>
    <row r="12" spans="1:9" x14ac:dyDescent="0.2">
      <c r="A12" s="16" t="s">
        <v>925</v>
      </c>
      <c r="B12" s="125" t="s">
        <v>2242</v>
      </c>
      <c r="C12" s="17">
        <v>420</v>
      </c>
      <c r="D12" s="17">
        <v>-815.04</v>
      </c>
      <c r="E12" s="17">
        <v>0</v>
      </c>
      <c r="F12" s="17">
        <v>-445.04</v>
      </c>
      <c r="G12" s="17">
        <v>-16.59</v>
      </c>
      <c r="H12" s="17">
        <v>0</v>
      </c>
      <c r="I12" s="17">
        <v>0</v>
      </c>
    </row>
    <row r="13" spans="1:9" x14ac:dyDescent="0.2">
      <c r="A13" s="16" t="s">
        <v>1215</v>
      </c>
      <c r="B13" s="125" t="s">
        <v>2241</v>
      </c>
      <c r="C13" s="19">
        <v>472.52</v>
      </c>
      <c r="D13" s="19">
        <v>820.04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</row>
    <row r="14" spans="1:9" ht="13.5" thickBot="1" x14ac:dyDescent="0.25">
      <c r="A14" s="16"/>
      <c r="B14" s="6" t="s">
        <v>1341</v>
      </c>
      <c r="C14" s="36">
        <f t="shared" ref="C14:G14" si="2">SUM(C12:C13)</f>
        <v>892.52</v>
      </c>
      <c r="D14" s="36">
        <f t="shared" si="2"/>
        <v>5</v>
      </c>
      <c r="E14" s="36">
        <f t="shared" si="2"/>
        <v>0</v>
      </c>
      <c r="F14" s="36">
        <f t="shared" si="2"/>
        <v>-445.04</v>
      </c>
      <c r="G14" s="36">
        <f t="shared" si="2"/>
        <v>-16.59</v>
      </c>
      <c r="H14" s="36">
        <f t="shared" ref="H14:I14" si="3">SUM(H12:H13)</f>
        <v>0</v>
      </c>
      <c r="I14" s="36">
        <f t="shared" si="3"/>
        <v>0</v>
      </c>
    </row>
    <row r="15" spans="1:9" ht="13.5" thickTop="1" x14ac:dyDescent="0.2">
      <c r="A15" s="16"/>
      <c r="B15" s="6"/>
      <c r="C15" s="10"/>
      <c r="D15" s="10"/>
      <c r="E15" s="10"/>
      <c r="F15" s="10"/>
      <c r="G15" s="10"/>
      <c r="H15" s="10"/>
      <c r="I15" s="10"/>
    </row>
    <row r="16" spans="1:9" x14ac:dyDescent="0.2">
      <c r="A16" s="16"/>
      <c r="B16" s="4" t="s">
        <v>653</v>
      </c>
      <c r="C16" s="10"/>
      <c r="D16" s="10"/>
      <c r="E16" s="10"/>
      <c r="F16" s="10"/>
      <c r="G16" s="10"/>
      <c r="H16" s="10"/>
      <c r="I16" s="10"/>
    </row>
    <row r="17" spans="1:10" x14ac:dyDescent="0.2">
      <c r="A17" s="16"/>
      <c r="B17" s="4" t="s">
        <v>926</v>
      </c>
      <c r="C17" s="10"/>
      <c r="D17" s="10"/>
      <c r="E17" s="10"/>
      <c r="F17" s="10"/>
      <c r="G17" s="10"/>
      <c r="H17" s="10"/>
      <c r="I17" s="10"/>
    </row>
    <row r="18" spans="1:10" x14ac:dyDescent="0.2">
      <c r="A18" s="16"/>
      <c r="B18" s="20" t="s">
        <v>1343</v>
      </c>
      <c r="C18" s="10"/>
      <c r="D18" s="10"/>
      <c r="E18" s="10"/>
      <c r="F18" s="10"/>
      <c r="G18" s="10"/>
      <c r="H18" s="10"/>
      <c r="I18" s="10"/>
    </row>
    <row r="19" spans="1:10" x14ac:dyDescent="0.2">
      <c r="A19" s="16" t="s">
        <v>1433</v>
      </c>
      <c r="C19" s="129" t="str">
        <f t="shared" ref="C19:G19" si="4">+C4</f>
        <v>2018 ACTUAL</v>
      </c>
      <c r="D19" s="129" t="str">
        <f t="shared" si="4"/>
        <v>2019 ACTUAL</v>
      </c>
      <c r="E19" s="129" t="str">
        <f t="shared" si="4"/>
        <v>2020 ACTUAL</v>
      </c>
      <c r="F19" s="129" t="str">
        <f t="shared" si="4"/>
        <v>2021 ACTUAL</v>
      </c>
      <c r="G19" s="129" t="str">
        <f t="shared" si="4"/>
        <v>2022 ACTUAL</v>
      </c>
      <c r="H19" s="129" t="str">
        <f t="shared" ref="H19:I19" si="5">+H4</f>
        <v xml:space="preserve">2023 BUDGET </v>
      </c>
      <c r="I19" s="129" t="str">
        <f t="shared" si="5"/>
        <v xml:space="preserve">2024 BUDGET </v>
      </c>
    </row>
    <row r="20" spans="1:10" x14ac:dyDescent="0.2">
      <c r="A20" s="16"/>
      <c r="C20" s="112"/>
      <c r="D20" s="112"/>
      <c r="E20" s="112"/>
      <c r="F20" s="112"/>
      <c r="G20" s="112"/>
      <c r="H20" s="112"/>
      <c r="I20" s="112"/>
    </row>
    <row r="21" spans="1:10" x14ac:dyDescent="0.2">
      <c r="A21" s="16" t="s">
        <v>1433</v>
      </c>
      <c r="B21" t="s">
        <v>1344</v>
      </c>
      <c r="C21" s="10">
        <v>900.1</v>
      </c>
      <c r="D21" s="10">
        <f t="shared" ref="D21:I21" si="6">C29</f>
        <v>7.5800000000000409</v>
      </c>
      <c r="E21" s="10">
        <f t="shared" si="6"/>
        <v>2.5800000000000409</v>
      </c>
      <c r="F21" s="10">
        <f t="shared" si="6"/>
        <v>2.5800000000000409</v>
      </c>
      <c r="G21" s="10">
        <f t="shared" si="6"/>
        <v>447.62000000000006</v>
      </c>
      <c r="H21" s="10">
        <f t="shared" si="6"/>
        <v>464.21000000000004</v>
      </c>
      <c r="I21" s="10">
        <f t="shared" si="6"/>
        <v>464.21000000000004</v>
      </c>
      <c r="J21" s="39"/>
    </row>
    <row r="22" spans="1:10" x14ac:dyDescent="0.2">
      <c r="A22" s="16"/>
      <c r="C22" s="10"/>
      <c r="D22" s="10"/>
      <c r="E22" s="10"/>
      <c r="F22" s="10"/>
      <c r="G22" s="10"/>
      <c r="H22" s="10"/>
      <c r="I22" s="10"/>
    </row>
    <row r="23" spans="1:10" x14ac:dyDescent="0.2">
      <c r="A23" s="16"/>
      <c r="B23" t="s">
        <v>113</v>
      </c>
      <c r="C23" s="10">
        <f t="shared" ref="C23:G23" si="7">C9</f>
        <v>0</v>
      </c>
      <c r="D23" s="10">
        <f t="shared" si="7"/>
        <v>0</v>
      </c>
      <c r="E23" s="10">
        <f t="shared" si="7"/>
        <v>0</v>
      </c>
      <c r="F23" s="10">
        <f t="shared" si="7"/>
        <v>0</v>
      </c>
      <c r="G23" s="10">
        <f t="shared" si="7"/>
        <v>0</v>
      </c>
      <c r="H23" s="10">
        <f t="shared" ref="H23:I23" si="8">H9</f>
        <v>0</v>
      </c>
      <c r="I23" s="10">
        <f t="shared" si="8"/>
        <v>0</v>
      </c>
    </row>
    <row r="24" spans="1:10" x14ac:dyDescent="0.2">
      <c r="A24" s="16"/>
      <c r="C24" s="10"/>
      <c r="D24" s="10"/>
      <c r="E24" s="10"/>
      <c r="F24" s="10"/>
      <c r="G24" s="10"/>
      <c r="H24" s="10"/>
      <c r="I24" s="10"/>
    </row>
    <row r="25" spans="1:10" x14ac:dyDescent="0.2">
      <c r="A25" s="16"/>
      <c r="B25" t="s">
        <v>1427</v>
      </c>
      <c r="C25" s="10">
        <f t="shared" ref="C25:G25" si="9">C14</f>
        <v>892.52</v>
      </c>
      <c r="D25" s="10">
        <f t="shared" si="9"/>
        <v>5</v>
      </c>
      <c r="E25" s="10">
        <f t="shared" si="9"/>
        <v>0</v>
      </c>
      <c r="F25" s="10">
        <f t="shared" si="9"/>
        <v>-445.04</v>
      </c>
      <c r="G25" s="10">
        <f t="shared" si="9"/>
        <v>-16.59</v>
      </c>
      <c r="H25" s="10">
        <f t="shared" ref="H25:I25" si="10">H14</f>
        <v>0</v>
      </c>
      <c r="I25" s="10">
        <f t="shared" si="10"/>
        <v>0</v>
      </c>
    </row>
    <row r="26" spans="1:10" x14ac:dyDescent="0.2">
      <c r="A26" s="16"/>
      <c r="C26" s="10"/>
      <c r="D26" s="10"/>
      <c r="E26" s="10"/>
      <c r="F26" s="10"/>
      <c r="G26" s="10"/>
      <c r="H26" s="10"/>
      <c r="I26" s="10"/>
    </row>
    <row r="27" spans="1:10" x14ac:dyDescent="0.2">
      <c r="A27" s="16"/>
      <c r="B27" t="s">
        <v>1140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0" x14ac:dyDescent="0.2">
      <c r="A28" s="16"/>
      <c r="C28" s="10"/>
      <c r="D28" s="10"/>
      <c r="E28" s="10"/>
      <c r="F28" s="10"/>
      <c r="G28" s="10"/>
      <c r="H28" s="10"/>
      <c r="I28" s="10"/>
    </row>
    <row r="29" spans="1:10" ht="13.5" thickBot="1" x14ac:dyDescent="0.25">
      <c r="A29" s="16"/>
      <c r="B29" t="s">
        <v>1348</v>
      </c>
      <c r="C29" s="36">
        <f t="shared" ref="C29:G29" si="11">C21+C23-C25+C27</f>
        <v>7.5800000000000409</v>
      </c>
      <c r="D29" s="36">
        <f t="shared" si="11"/>
        <v>2.5800000000000409</v>
      </c>
      <c r="E29" s="36">
        <f t="shared" si="11"/>
        <v>2.5800000000000409</v>
      </c>
      <c r="F29" s="36">
        <f t="shared" si="11"/>
        <v>447.62000000000006</v>
      </c>
      <c r="G29" s="36">
        <f t="shared" si="11"/>
        <v>464.21000000000004</v>
      </c>
      <c r="H29" s="36">
        <f t="shared" ref="H29:I29" si="12">H21+H23-H25+H27</f>
        <v>464.21000000000004</v>
      </c>
      <c r="I29" s="36">
        <f t="shared" si="12"/>
        <v>464.21000000000004</v>
      </c>
    </row>
    <row r="30" spans="1:10" ht="13.5" thickTop="1" x14ac:dyDescent="0.2"/>
    <row r="40" spans="4:4" x14ac:dyDescent="0.2">
      <c r="D40" s="10"/>
    </row>
  </sheetData>
  <phoneticPr fontId="2" type="noConversion"/>
  <pageMargins left="0.5" right="0.5" top="1" bottom="1" header="0.5" footer="0.5"/>
  <pageSetup scale="82" firstPageNumber="56" fitToHeight="0" orientation="portrait" useFirstPageNumber="1" r:id="rId1"/>
  <headerFooter alignWithMargins="0"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I73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3.285156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s="16" t="s">
        <v>1433</v>
      </c>
      <c r="B1" s="4" t="s">
        <v>653</v>
      </c>
      <c r="C1" s="1" t="s">
        <v>1433</v>
      </c>
      <c r="D1" s="1" t="s">
        <v>1433</v>
      </c>
      <c r="E1" s="1" t="s">
        <v>1433</v>
      </c>
      <c r="F1" s="1" t="s">
        <v>1433</v>
      </c>
      <c r="G1" s="1" t="s">
        <v>1433</v>
      </c>
    </row>
    <row r="2" spans="1:9" x14ac:dyDescent="0.2">
      <c r="A2" s="16"/>
      <c r="B2" s="4" t="s">
        <v>1534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3" spans="1:9" x14ac:dyDescent="0.2">
      <c r="A3" s="16"/>
      <c r="B3" s="4"/>
    </row>
    <row r="4" spans="1:9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198" t="s">
        <v>2502</v>
      </c>
      <c r="B5" s="4" t="s">
        <v>313</v>
      </c>
    </row>
    <row r="6" spans="1:9" x14ac:dyDescent="0.2">
      <c r="A6" s="16" t="s">
        <v>1227</v>
      </c>
      <c r="B6" s="125" t="s">
        <v>1827</v>
      </c>
      <c r="C6" s="10">
        <v>943973.92</v>
      </c>
      <c r="D6" s="10">
        <v>488291.03</v>
      </c>
      <c r="E6" s="10">
        <v>504452.46</v>
      </c>
      <c r="F6" s="10">
        <v>504824.57</v>
      </c>
      <c r="G6" s="10">
        <v>637943.63</v>
      </c>
      <c r="H6" s="10">
        <f>SUM(intro!H382)</f>
        <v>0</v>
      </c>
      <c r="I6" s="10">
        <f>SUM(intro!I382)</f>
        <v>0</v>
      </c>
    </row>
    <row r="7" spans="1:9" x14ac:dyDescent="0.2">
      <c r="A7" s="16" t="s">
        <v>1228</v>
      </c>
      <c r="B7" s="125" t="s">
        <v>1828</v>
      </c>
      <c r="C7" s="10">
        <v>42147.23</v>
      </c>
      <c r="D7" s="10">
        <v>15313.91</v>
      </c>
      <c r="E7" s="10">
        <v>20589.580000000002</v>
      </c>
      <c r="F7" s="10">
        <v>15386.7</v>
      </c>
      <c r="G7" s="10">
        <v>19538.5</v>
      </c>
      <c r="H7" s="10">
        <f>+intro!K392</f>
        <v>0</v>
      </c>
      <c r="I7" s="10">
        <f>+intro!L392</f>
        <v>0</v>
      </c>
    </row>
    <row r="8" spans="1:9" x14ac:dyDescent="0.2">
      <c r="A8" s="16" t="s">
        <v>1229</v>
      </c>
      <c r="B8" s="125" t="s">
        <v>1761</v>
      </c>
      <c r="C8" s="10">
        <v>228.82</v>
      </c>
      <c r="D8" s="10">
        <v>4631.59</v>
      </c>
      <c r="E8" s="10">
        <v>5907.68</v>
      </c>
      <c r="F8" s="10">
        <v>5878.91</v>
      </c>
      <c r="G8" s="10">
        <v>6956.8</v>
      </c>
      <c r="H8" s="10">
        <v>500</v>
      </c>
      <c r="I8" s="10">
        <v>0</v>
      </c>
    </row>
    <row r="9" spans="1:9" x14ac:dyDescent="0.2">
      <c r="A9" s="16" t="s">
        <v>1623</v>
      </c>
      <c r="B9" s="125" t="s">
        <v>1877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x14ac:dyDescent="0.2">
      <c r="A10" s="52" t="s">
        <v>1748</v>
      </c>
      <c r="B10" s="126" t="s">
        <v>1878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x14ac:dyDescent="0.2">
      <c r="A11" s="22"/>
      <c r="B11" s="6" t="s">
        <v>1118</v>
      </c>
      <c r="C11" s="10">
        <f t="shared" ref="C11:F11" si="0">SUM(C6:C10)</f>
        <v>986349.97</v>
      </c>
      <c r="D11" s="10">
        <f t="shared" si="0"/>
        <v>508236.53</v>
      </c>
      <c r="E11" s="10">
        <f t="shared" si="0"/>
        <v>530949.72000000009</v>
      </c>
      <c r="F11" s="10">
        <f t="shared" si="0"/>
        <v>526090.18000000005</v>
      </c>
      <c r="G11" s="10">
        <f t="shared" ref="G11:H11" si="1">SUM(G6:G10)</f>
        <v>664438.93000000005</v>
      </c>
      <c r="H11" s="10">
        <f t="shared" si="1"/>
        <v>500</v>
      </c>
      <c r="I11" s="10">
        <f t="shared" ref="I11" si="2">SUM(I6:I10)</f>
        <v>0</v>
      </c>
    </row>
    <row r="12" spans="1:9" x14ac:dyDescent="0.2">
      <c r="A12" s="128">
        <v>610.4</v>
      </c>
      <c r="B12" s="4" t="s">
        <v>1825</v>
      </c>
      <c r="C12" s="10"/>
      <c r="D12" s="10"/>
      <c r="E12" s="10"/>
      <c r="F12" s="10"/>
      <c r="G12" s="10"/>
      <c r="H12" s="10"/>
      <c r="I12" s="10"/>
    </row>
    <row r="13" spans="1:9" x14ac:dyDescent="0.2">
      <c r="A13" s="22" t="s">
        <v>2264</v>
      </c>
      <c r="B13" s="125" t="s">
        <v>1882</v>
      </c>
      <c r="C13" s="17">
        <v>0</v>
      </c>
      <c r="D13" s="17">
        <v>3.53</v>
      </c>
      <c r="E13" s="12">
        <v>0</v>
      </c>
      <c r="F13" s="17">
        <v>0</v>
      </c>
      <c r="G13" s="17">
        <v>0</v>
      </c>
      <c r="H13" s="17">
        <v>0</v>
      </c>
      <c r="I13" s="17">
        <v>0</v>
      </c>
    </row>
    <row r="14" spans="1:9" x14ac:dyDescent="0.2">
      <c r="A14" s="22"/>
      <c r="B14" s="6" t="s">
        <v>1118</v>
      </c>
      <c r="C14" s="127">
        <f t="shared" ref="C14:F14" si="3">+C13</f>
        <v>0</v>
      </c>
      <c r="D14" s="127">
        <f t="shared" si="3"/>
        <v>3.53</v>
      </c>
      <c r="E14" s="127">
        <f t="shared" si="3"/>
        <v>0</v>
      </c>
      <c r="F14" s="127">
        <f t="shared" si="3"/>
        <v>0</v>
      </c>
      <c r="G14" s="127">
        <f t="shared" ref="G14:H14" si="4">+G13</f>
        <v>0</v>
      </c>
      <c r="H14" s="127">
        <f t="shared" si="4"/>
        <v>0</v>
      </c>
      <c r="I14" s="127">
        <f t="shared" ref="I14" si="5">+I13</f>
        <v>0</v>
      </c>
    </row>
    <row r="15" spans="1:9" x14ac:dyDescent="0.2">
      <c r="B15" s="6"/>
      <c r="C15" s="10"/>
      <c r="D15" s="10"/>
      <c r="E15" s="10"/>
      <c r="F15" s="10"/>
      <c r="G15" s="10"/>
      <c r="H15" s="10"/>
      <c r="I15" s="10"/>
    </row>
    <row r="16" spans="1:9" ht="13.5" thickBot="1" x14ac:dyDescent="0.25">
      <c r="A16" s="16"/>
      <c r="B16" s="6" t="s">
        <v>137</v>
      </c>
      <c r="C16" s="36">
        <f t="shared" ref="C16:F16" si="6">+C11+C14</f>
        <v>986349.97</v>
      </c>
      <c r="D16" s="36">
        <f t="shared" si="6"/>
        <v>508240.06000000006</v>
      </c>
      <c r="E16" s="36">
        <f t="shared" si="6"/>
        <v>530949.72000000009</v>
      </c>
      <c r="F16" s="36">
        <f t="shared" si="6"/>
        <v>526090.18000000005</v>
      </c>
      <c r="G16" s="36">
        <f t="shared" ref="G16:H16" si="7">+G11+G14</f>
        <v>664438.93000000005</v>
      </c>
      <c r="H16" s="36">
        <f t="shared" si="7"/>
        <v>500</v>
      </c>
      <c r="I16" s="36">
        <f t="shared" ref="I16" si="8">+I11+I14</f>
        <v>0</v>
      </c>
    </row>
    <row r="17" spans="1:9" ht="13.5" thickTop="1" x14ac:dyDescent="0.2">
      <c r="A17" s="16"/>
      <c r="C17" s="10"/>
      <c r="D17" s="10"/>
      <c r="E17" s="10"/>
      <c r="F17" s="10"/>
      <c r="G17" s="10"/>
      <c r="H17" s="10"/>
      <c r="I17" s="10"/>
    </row>
    <row r="18" spans="1:9" x14ac:dyDescent="0.2">
      <c r="A18" s="16"/>
      <c r="B18" s="4" t="s">
        <v>861</v>
      </c>
      <c r="C18" s="10"/>
      <c r="D18" s="10"/>
      <c r="E18" s="10"/>
      <c r="F18" s="10"/>
      <c r="G18" s="10"/>
      <c r="H18" s="10"/>
      <c r="I18" s="10"/>
    </row>
    <row r="19" spans="1:9" x14ac:dyDescent="0.2">
      <c r="A19" s="128">
        <v>610.4</v>
      </c>
      <c r="B19" s="4" t="s">
        <v>1825</v>
      </c>
      <c r="C19" s="10"/>
      <c r="D19" s="10"/>
      <c r="E19" s="10"/>
      <c r="F19" s="10"/>
      <c r="G19" s="10"/>
      <c r="H19" s="10"/>
      <c r="I19" s="10"/>
    </row>
    <row r="20" spans="1:9" x14ac:dyDescent="0.2">
      <c r="A20" s="131" t="s">
        <v>2264</v>
      </c>
      <c r="B20" s="126" t="s">
        <v>1883</v>
      </c>
      <c r="C20" s="17">
        <v>0</v>
      </c>
      <c r="D20" s="17">
        <v>0</v>
      </c>
      <c r="E20" s="12">
        <v>0</v>
      </c>
      <c r="F20" s="17">
        <v>0</v>
      </c>
      <c r="G20" s="17">
        <v>0</v>
      </c>
      <c r="H20" s="17">
        <v>0</v>
      </c>
      <c r="I20" s="17">
        <v>0</v>
      </c>
    </row>
    <row r="21" spans="1:9" x14ac:dyDescent="0.2">
      <c r="A21" s="22"/>
      <c r="B21" s="6" t="s">
        <v>1118</v>
      </c>
      <c r="C21" s="127">
        <f t="shared" ref="C21:F21" si="9">+C20</f>
        <v>0</v>
      </c>
      <c r="D21" s="127">
        <f t="shared" si="9"/>
        <v>0</v>
      </c>
      <c r="E21" s="127">
        <f t="shared" si="9"/>
        <v>0</v>
      </c>
      <c r="F21" s="127">
        <f t="shared" si="9"/>
        <v>0</v>
      </c>
      <c r="G21" s="127">
        <f t="shared" ref="G21:H21" si="10">+G20</f>
        <v>0</v>
      </c>
      <c r="H21" s="127">
        <f t="shared" si="10"/>
        <v>0</v>
      </c>
      <c r="I21" s="127">
        <f t="shared" ref="I21" si="11">+I20</f>
        <v>0</v>
      </c>
    </row>
    <row r="22" spans="1:9" x14ac:dyDescent="0.2">
      <c r="A22" s="128">
        <v>610.69500000000005</v>
      </c>
      <c r="B22" s="6"/>
      <c r="C22" s="10"/>
      <c r="D22" s="10"/>
      <c r="E22" s="10"/>
      <c r="F22" s="10"/>
      <c r="G22" s="10"/>
      <c r="H22" s="10"/>
      <c r="I22" s="10"/>
    </row>
    <row r="23" spans="1:9" x14ac:dyDescent="0.2">
      <c r="A23" s="16" t="s">
        <v>1535</v>
      </c>
      <c r="B23" s="125" t="s">
        <v>2243</v>
      </c>
      <c r="C23" s="10">
        <v>405000</v>
      </c>
      <c r="D23" s="10">
        <v>395000</v>
      </c>
      <c r="E23" s="10">
        <v>410000</v>
      </c>
      <c r="F23" s="10">
        <v>395000</v>
      </c>
      <c r="G23" s="10">
        <v>835000</v>
      </c>
      <c r="H23" s="10">
        <v>0</v>
      </c>
      <c r="I23" s="10">
        <v>0</v>
      </c>
    </row>
    <row r="24" spans="1:9" x14ac:dyDescent="0.2">
      <c r="A24" s="16" t="s">
        <v>1536</v>
      </c>
      <c r="B24" s="125" t="s">
        <v>2244</v>
      </c>
      <c r="C24" s="10">
        <v>31487</v>
      </c>
      <c r="D24" s="10">
        <v>26288</v>
      </c>
      <c r="E24" s="10">
        <v>20893</v>
      </c>
      <c r="F24" s="10">
        <v>15340</v>
      </c>
      <c r="G24" s="10">
        <v>3912.23</v>
      </c>
      <c r="H24" s="10">
        <v>0</v>
      </c>
      <c r="I24" s="10">
        <v>0</v>
      </c>
    </row>
    <row r="25" spans="1:9" x14ac:dyDescent="0.2">
      <c r="A25" s="16" t="s">
        <v>1781</v>
      </c>
      <c r="B25" s="125" t="s">
        <v>1995</v>
      </c>
      <c r="C25" s="10">
        <v>0</v>
      </c>
      <c r="D25" s="10">
        <v>61139.64</v>
      </c>
      <c r="E25" s="10">
        <v>63496.69</v>
      </c>
      <c r="F25" s="10">
        <v>65199.09</v>
      </c>
      <c r="G25" s="10">
        <v>67329.86</v>
      </c>
      <c r="H25" s="10">
        <v>290138.43</v>
      </c>
      <c r="I25" s="10">
        <v>0</v>
      </c>
    </row>
    <row r="26" spans="1:9" x14ac:dyDescent="0.2">
      <c r="A26" s="16" t="s">
        <v>1782</v>
      </c>
      <c r="B26" s="125" t="s">
        <v>1996</v>
      </c>
      <c r="C26" s="10">
        <v>0</v>
      </c>
      <c r="D26" s="10">
        <v>21291.24</v>
      </c>
      <c r="E26" s="10">
        <v>18934.189999999999</v>
      </c>
      <c r="F26" s="10">
        <v>17231.79</v>
      </c>
      <c r="G26" s="10">
        <v>15101.02</v>
      </c>
      <c r="H26" s="10">
        <v>6148</v>
      </c>
      <c r="I26" s="10">
        <v>0</v>
      </c>
    </row>
    <row r="27" spans="1:9" hidden="1" x14ac:dyDescent="0.2">
      <c r="A27" s="16" t="s">
        <v>1537</v>
      </c>
      <c r="B27" s="125" t="s">
        <v>2245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</row>
    <row r="28" spans="1:9" hidden="1" x14ac:dyDescent="0.2">
      <c r="A28" s="16" t="s">
        <v>1538</v>
      </c>
      <c r="B28" s="125" t="s">
        <v>2246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</row>
    <row r="29" spans="1:9" hidden="1" x14ac:dyDescent="0.2">
      <c r="A29" s="16" t="s">
        <v>1539</v>
      </c>
      <c r="B29" s="125" t="s">
        <v>2247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</row>
    <row r="30" spans="1:9" ht="12" hidden="1" customHeight="1" x14ac:dyDescent="0.2">
      <c r="A30" s="16" t="s">
        <v>1540</v>
      </c>
      <c r="B30" s="125" t="s">
        <v>2248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</row>
    <row r="31" spans="1:9" hidden="1" x14ac:dyDescent="0.2">
      <c r="A31" s="16" t="s">
        <v>922</v>
      </c>
      <c r="B31" s="125" t="s">
        <v>306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</row>
    <row r="32" spans="1:9" hidden="1" x14ac:dyDescent="0.2">
      <c r="A32" s="16" t="s">
        <v>923</v>
      </c>
      <c r="B32" s="125" t="s">
        <v>305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</row>
    <row r="33" spans="1:9" hidden="1" x14ac:dyDescent="0.2">
      <c r="A33" s="16" t="s">
        <v>274</v>
      </c>
      <c r="B33" s="125" t="s">
        <v>790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</row>
    <row r="34" spans="1:9" hidden="1" x14ac:dyDescent="0.2">
      <c r="A34" s="16" t="s">
        <v>275</v>
      </c>
      <c r="B34" s="125" t="s">
        <v>791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</row>
    <row r="35" spans="1:9" hidden="1" x14ac:dyDescent="0.2">
      <c r="A35" s="16" t="s">
        <v>307</v>
      </c>
      <c r="B35" s="125" t="s">
        <v>792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</row>
    <row r="36" spans="1:9" hidden="1" x14ac:dyDescent="0.2">
      <c r="A36" s="16" t="s">
        <v>304</v>
      </c>
      <c r="B36" s="125" t="s">
        <v>793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</row>
    <row r="37" spans="1:9" hidden="1" x14ac:dyDescent="0.2">
      <c r="A37" s="16" t="s">
        <v>794</v>
      </c>
      <c r="B37" s="125" t="s">
        <v>2249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</row>
    <row r="38" spans="1:9" hidden="1" x14ac:dyDescent="0.2">
      <c r="A38" s="16" t="s">
        <v>795</v>
      </c>
      <c r="B38" s="125" t="s">
        <v>2250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</row>
    <row r="39" spans="1:9" hidden="1" x14ac:dyDescent="0.2">
      <c r="A39" s="16" t="s">
        <v>796</v>
      </c>
      <c r="B39" s="125" t="s">
        <v>2251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</row>
    <row r="40" spans="1:9" hidden="1" x14ac:dyDescent="0.2">
      <c r="A40" s="16" t="s">
        <v>409</v>
      </c>
      <c r="B40" s="125" t="s">
        <v>2252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</row>
    <row r="41" spans="1:9" x14ac:dyDescent="0.2">
      <c r="A41" s="16" t="s">
        <v>61</v>
      </c>
      <c r="B41" s="125" t="s">
        <v>2253</v>
      </c>
      <c r="C41" s="10">
        <v>27763.200000000001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x14ac:dyDescent="0.2">
      <c r="A42" s="16" t="s">
        <v>62</v>
      </c>
      <c r="B42" s="125" t="s">
        <v>2254</v>
      </c>
      <c r="C42" s="10">
        <v>2784.39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</row>
    <row r="43" spans="1:9" x14ac:dyDescent="0.2">
      <c r="A43" s="16" t="s">
        <v>63</v>
      </c>
      <c r="B43" s="125" t="s">
        <v>2255</v>
      </c>
      <c r="C43" s="10">
        <v>22078.41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</row>
    <row r="44" spans="1:9" x14ac:dyDescent="0.2">
      <c r="A44" s="16" t="s">
        <v>64</v>
      </c>
      <c r="B44" s="125" t="s">
        <v>2256</v>
      </c>
      <c r="C44" s="10">
        <v>2214.2199999999998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</row>
    <row r="45" spans="1:9" hidden="1" x14ac:dyDescent="0.2">
      <c r="A45" s="16" t="s">
        <v>65</v>
      </c>
      <c r="B45" s="125" t="s">
        <v>2257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idden="1" x14ac:dyDescent="0.2">
      <c r="A46" s="16" t="s">
        <v>66</v>
      </c>
      <c r="B46" s="125" t="s">
        <v>2258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x14ac:dyDescent="0.2">
      <c r="A47" s="52" t="s">
        <v>1670</v>
      </c>
      <c r="B47" s="125" t="s">
        <v>2259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x14ac:dyDescent="0.2">
      <c r="A48" s="52" t="s">
        <v>1671</v>
      </c>
      <c r="B48" s="125" t="s">
        <v>2260</v>
      </c>
      <c r="C48" s="10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</row>
    <row r="49" spans="1:9" x14ac:dyDescent="0.2">
      <c r="A49" s="52" t="s">
        <v>1676</v>
      </c>
      <c r="B49" s="125" t="s">
        <v>2261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</row>
    <row r="50" spans="1:9" x14ac:dyDescent="0.2">
      <c r="A50" s="52" t="s">
        <v>1677</v>
      </c>
      <c r="B50" s="125" t="s">
        <v>2262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x14ac:dyDescent="0.2">
      <c r="A51" s="16" t="s">
        <v>1541</v>
      </c>
      <c r="B51" s="125" t="s">
        <v>2263</v>
      </c>
      <c r="C51" s="12">
        <v>400</v>
      </c>
      <c r="D51" s="12">
        <v>400</v>
      </c>
      <c r="E51" s="12">
        <v>400</v>
      </c>
      <c r="F51" s="12">
        <v>400</v>
      </c>
      <c r="G51" s="12">
        <v>0</v>
      </c>
      <c r="H51" s="12">
        <v>0</v>
      </c>
      <c r="I51" s="12">
        <v>0</v>
      </c>
    </row>
    <row r="52" spans="1:9" x14ac:dyDescent="0.2">
      <c r="A52" s="16"/>
      <c r="B52" s="125"/>
      <c r="C52" s="127">
        <f t="shared" ref="C52:F52" si="12">SUM(C23:C51)</f>
        <v>491727.22</v>
      </c>
      <c r="D52" s="127">
        <f t="shared" si="12"/>
        <v>504118.88</v>
      </c>
      <c r="E52" s="127">
        <f t="shared" si="12"/>
        <v>513723.88</v>
      </c>
      <c r="F52" s="127">
        <f t="shared" si="12"/>
        <v>493170.87999999995</v>
      </c>
      <c r="G52" s="127">
        <f t="shared" ref="G52:H52" si="13">SUM(G23:G51)</f>
        <v>921343.11</v>
      </c>
      <c r="H52" s="127">
        <f t="shared" si="13"/>
        <v>296286.43</v>
      </c>
      <c r="I52" s="127">
        <f t="shared" ref="I52" si="14">SUM(I23:I51)</f>
        <v>0</v>
      </c>
    </row>
    <row r="53" spans="1:9" x14ac:dyDescent="0.2">
      <c r="A53" s="16"/>
      <c r="B53" s="125"/>
      <c r="C53" s="10"/>
      <c r="D53" s="10"/>
      <c r="E53" s="10"/>
      <c r="F53" s="10"/>
      <c r="G53" s="10"/>
      <c r="H53" s="10"/>
      <c r="I53" s="10"/>
    </row>
    <row r="54" spans="1:9" ht="13.5" thickBot="1" x14ac:dyDescent="0.25">
      <c r="A54" s="16"/>
      <c r="B54" s="6" t="s">
        <v>1341</v>
      </c>
      <c r="C54" s="135">
        <f t="shared" ref="C54:F54" si="15">+C52+C21</f>
        <v>491727.22</v>
      </c>
      <c r="D54" s="135">
        <f t="shared" si="15"/>
        <v>504118.88</v>
      </c>
      <c r="E54" s="135">
        <f t="shared" si="15"/>
        <v>513723.88</v>
      </c>
      <c r="F54" s="135">
        <f t="shared" si="15"/>
        <v>493170.87999999995</v>
      </c>
      <c r="G54" s="135">
        <f t="shared" ref="G54:H54" si="16">+G52+G21</f>
        <v>921343.11</v>
      </c>
      <c r="H54" s="135">
        <f t="shared" si="16"/>
        <v>296286.43</v>
      </c>
      <c r="I54" s="135">
        <f t="shared" ref="I54" si="17">+I52+I21</f>
        <v>0</v>
      </c>
    </row>
    <row r="55" spans="1:9" ht="13.5" thickTop="1" x14ac:dyDescent="0.2">
      <c r="A55" s="16" t="s">
        <v>1433</v>
      </c>
      <c r="B55" s="6"/>
      <c r="C55" s="10"/>
      <c r="D55" s="10"/>
      <c r="E55" s="10"/>
      <c r="F55" s="10"/>
      <c r="G55" s="10"/>
      <c r="H55" s="10"/>
      <c r="I55" s="10"/>
    </row>
    <row r="56" spans="1:9" x14ac:dyDescent="0.2">
      <c r="A56" s="16"/>
      <c r="B56" s="6"/>
      <c r="C56" s="10"/>
      <c r="D56" s="10"/>
      <c r="E56" s="10"/>
      <c r="F56" s="10"/>
      <c r="G56" s="10"/>
      <c r="H56" s="10"/>
      <c r="I56" s="10"/>
    </row>
    <row r="57" spans="1:9" x14ac:dyDescent="0.2">
      <c r="A57" s="16"/>
      <c r="B57" s="4" t="s">
        <v>653</v>
      </c>
      <c r="C57" s="10"/>
      <c r="D57" s="10"/>
      <c r="E57" s="10"/>
      <c r="F57" s="10"/>
      <c r="G57" s="10"/>
      <c r="H57" s="10"/>
      <c r="I57" s="10"/>
    </row>
    <row r="58" spans="1:9" x14ac:dyDescent="0.2">
      <c r="A58" s="16"/>
      <c r="B58" s="4" t="s">
        <v>1534</v>
      </c>
      <c r="C58" s="10"/>
      <c r="D58" s="10"/>
      <c r="E58" s="10"/>
      <c r="F58" s="10"/>
      <c r="G58" s="10"/>
      <c r="H58" s="10"/>
      <c r="I58" s="10"/>
    </row>
    <row r="59" spans="1:9" x14ac:dyDescent="0.2">
      <c r="A59" s="16"/>
      <c r="B59" s="4" t="s">
        <v>1343</v>
      </c>
      <c r="C59" s="10"/>
      <c r="D59" s="10"/>
      <c r="E59" s="10"/>
      <c r="F59" s="10"/>
      <c r="G59" s="10"/>
      <c r="H59" s="10"/>
      <c r="I59" s="10"/>
    </row>
    <row r="60" spans="1:9" x14ac:dyDescent="0.2">
      <c r="A60" s="16"/>
      <c r="C60" s="129" t="str">
        <f t="shared" ref="C60:G60" si="18">+C4</f>
        <v>2018 ACTUAL</v>
      </c>
      <c r="D60" s="129" t="str">
        <f t="shared" si="18"/>
        <v>2019 ACTUAL</v>
      </c>
      <c r="E60" s="129" t="str">
        <f t="shared" si="18"/>
        <v>2020 ACTUAL</v>
      </c>
      <c r="F60" s="129" t="str">
        <f t="shared" si="18"/>
        <v>2021 ACTUAL</v>
      </c>
      <c r="G60" s="129" t="str">
        <f t="shared" si="18"/>
        <v>2022 ACTUAL</v>
      </c>
      <c r="H60" s="129" t="str">
        <f t="shared" ref="H60:I60" si="19">+H4</f>
        <v xml:space="preserve">2023 BUDGET </v>
      </c>
      <c r="I60" s="129" t="str">
        <f t="shared" si="19"/>
        <v xml:space="preserve">2024 BUDGET </v>
      </c>
    </row>
    <row r="61" spans="1:9" x14ac:dyDescent="0.2">
      <c r="C61" s="112"/>
      <c r="D61" s="112"/>
      <c r="E61" s="112"/>
      <c r="F61" s="112"/>
      <c r="G61" s="112"/>
      <c r="H61" s="112"/>
      <c r="I61" s="112"/>
    </row>
    <row r="62" spans="1:9" x14ac:dyDescent="0.2">
      <c r="B62" t="s">
        <v>1344</v>
      </c>
      <c r="C62" s="10">
        <v>4972.4399999999996</v>
      </c>
      <c r="D62" s="10">
        <f t="shared" ref="D62:I62" si="20">C70</f>
        <v>499595.18999999994</v>
      </c>
      <c r="E62" s="10">
        <f t="shared" si="20"/>
        <v>503716.37</v>
      </c>
      <c r="F62" s="10">
        <f t="shared" si="20"/>
        <v>520942.21000000008</v>
      </c>
      <c r="G62" s="10">
        <f t="shared" si="20"/>
        <v>553861.51000000024</v>
      </c>
      <c r="H62" s="10">
        <f t="shared" si="20"/>
        <v>296957.33000000042</v>
      </c>
      <c r="I62" s="10">
        <f t="shared" si="20"/>
        <v>1170.9000000004307</v>
      </c>
    </row>
    <row r="63" spans="1:9" x14ac:dyDescent="0.2">
      <c r="C63" s="10"/>
      <c r="D63" s="10"/>
      <c r="E63" s="10"/>
      <c r="F63" s="10"/>
      <c r="G63" s="10"/>
      <c r="H63" s="10"/>
      <c r="I63" s="10"/>
    </row>
    <row r="64" spans="1:9" x14ac:dyDescent="0.2">
      <c r="B64" t="s">
        <v>113</v>
      </c>
      <c r="C64" s="10">
        <f t="shared" ref="C64:G64" si="21">C16</f>
        <v>986349.97</v>
      </c>
      <c r="D64" s="10">
        <f t="shared" si="21"/>
        <v>508240.06000000006</v>
      </c>
      <c r="E64" s="10">
        <f t="shared" si="21"/>
        <v>530949.72000000009</v>
      </c>
      <c r="F64" s="10">
        <f t="shared" si="21"/>
        <v>526090.18000000005</v>
      </c>
      <c r="G64" s="10">
        <f t="shared" si="21"/>
        <v>664438.93000000005</v>
      </c>
      <c r="H64" s="10">
        <f t="shared" ref="H64:I64" si="22">H16</f>
        <v>500</v>
      </c>
      <c r="I64" s="10">
        <f t="shared" si="22"/>
        <v>0</v>
      </c>
    </row>
    <row r="65" spans="2:9" x14ac:dyDescent="0.2">
      <c r="C65" s="10"/>
      <c r="D65" s="10"/>
      <c r="E65" s="10"/>
      <c r="F65" s="10"/>
      <c r="G65" s="10"/>
      <c r="H65" s="10"/>
      <c r="I65" s="10"/>
    </row>
    <row r="66" spans="2:9" x14ac:dyDescent="0.2">
      <c r="B66" t="s">
        <v>1427</v>
      </c>
      <c r="C66" s="10">
        <f t="shared" ref="C66:G66" si="23">C54</f>
        <v>491727.22</v>
      </c>
      <c r="D66" s="10">
        <f t="shared" si="23"/>
        <v>504118.88</v>
      </c>
      <c r="E66" s="10">
        <f t="shared" si="23"/>
        <v>513723.88</v>
      </c>
      <c r="F66" s="10">
        <f t="shared" si="23"/>
        <v>493170.87999999995</v>
      </c>
      <c r="G66" s="10">
        <f t="shared" si="23"/>
        <v>921343.11</v>
      </c>
      <c r="H66" s="10">
        <f t="shared" ref="H66:I66" si="24">H54</f>
        <v>296286.43</v>
      </c>
      <c r="I66" s="10">
        <f t="shared" si="24"/>
        <v>0</v>
      </c>
    </row>
    <row r="67" spans="2:9" x14ac:dyDescent="0.2">
      <c r="C67" s="10"/>
      <c r="D67" s="10"/>
      <c r="E67" s="10"/>
      <c r="F67" s="10"/>
      <c r="G67" s="10"/>
      <c r="H67" s="10"/>
      <c r="I67" s="10"/>
    </row>
    <row r="68" spans="2:9" x14ac:dyDescent="0.2">
      <c r="B68" t="s">
        <v>161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</row>
    <row r="69" spans="2:9" x14ac:dyDescent="0.2">
      <c r="C69" s="10"/>
      <c r="D69" s="10"/>
      <c r="E69" s="10"/>
      <c r="F69" s="10"/>
      <c r="G69" s="10"/>
      <c r="H69" s="10"/>
      <c r="I69" s="10"/>
    </row>
    <row r="70" spans="2:9" ht="13.5" thickBot="1" x14ac:dyDescent="0.25">
      <c r="B70" t="s">
        <v>1348</v>
      </c>
      <c r="C70" s="36">
        <f t="shared" ref="C70:G70" si="25">C62+C64-C66+C68</f>
        <v>499595.18999999994</v>
      </c>
      <c r="D70" s="36">
        <f t="shared" si="25"/>
        <v>503716.37</v>
      </c>
      <c r="E70" s="36">
        <f t="shared" si="25"/>
        <v>520942.21000000008</v>
      </c>
      <c r="F70" s="36">
        <f t="shared" si="25"/>
        <v>553861.51000000024</v>
      </c>
      <c r="G70" s="36">
        <f t="shared" si="25"/>
        <v>296957.33000000042</v>
      </c>
      <c r="H70" s="36">
        <f t="shared" ref="H70:I70" si="26">H62+H64-H66+H68</f>
        <v>1170.9000000004307</v>
      </c>
      <c r="I70" s="36">
        <f t="shared" si="26"/>
        <v>1170.9000000004307</v>
      </c>
    </row>
    <row r="71" spans="2:9" ht="12" customHeight="1" thickTop="1" x14ac:dyDescent="0.2">
      <c r="C71" s="10"/>
      <c r="D71" s="10"/>
      <c r="E71" s="10"/>
      <c r="F71" s="10"/>
      <c r="G71" s="10"/>
    </row>
    <row r="72" spans="2:9" x14ac:dyDescent="0.2">
      <c r="D72" s="10"/>
      <c r="E72" s="115"/>
    </row>
    <row r="73" spans="2:9" x14ac:dyDescent="0.2">
      <c r="C73" s="10"/>
    </row>
  </sheetData>
  <phoneticPr fontId="2" type="noConversion"/>
  <pageMargins left="0.5" right="0.5" top="1" bottom="1" header="0.5" footer="0.5"/>
  <pageSetup scale="82" firstPageNumber="57" fitToHeight="0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52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4.1406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t="s">
        <v>1433</v>
      </c>
      <c r="B1" s="4" t="s">
        <v>1342</v>
      </c>
      <c r="C1" s="1" t="s">
        <v>1349</v>
      </c>
      <c r="D1" s="1" t="s">
        <v>1349</v>
      </c>
      <c r="E1" s="1" t="s">
        <v>1349</v>
      </c>
      <c r="F1" s="1" t="s">
        <v>1349</v>
      </c>
      <c r="G1" s="1" t="s">
        <v>1349</v>
      </c>
    </row>
    <row r="2" spans="1:9" x14ac:dyDescent="0.2">
      <c r="B2" s="4" t="s">
        <v>525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3" spans="1:9" x14ac:dyDescent="0.2"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9" x14ac:dyDescent="0.2">
      <c r="B4" s="4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202" t="s">
        <v>2455</v>
      </c>
      <c r="B5" s="4" t="s">
        <v>313</v>
      </c>
    </row>
    <row r="6" spans="1:9" x14ac:dyDescent="0.2">
      <c r="A6" t="s">
        <v>1448</v>
      </c>
      <c r="B6" s="126" t="s">
        <v>1827</v>
      </c>
      <c r="C6" s="18">
        <v>197527.58</v>
      </c>
      <c r="D6" s="18">
        <v>187640.23</v>
      </c>
      <c r="E6" s="18">
        <v>201780.99</v>
      </c>
      <c r="F6" s="18">
        <v>227526.58</v>
      </c>
      <c r="G6" s="18">
        <v>243026.14</v>
      </c>
      <c r="H6" s="18">
        <v>205687.47536692323</v>
      </c>
      <c r="I6" s="18">
        <f>intro!H378</f>
        <v>177530.13166447607</v>
      </c>
    </row>
    <row r="7" spans="1:9" x14ac:dyDescent="0.2">
      <c r="A7" t="s">
        <v>1449</v>
      </c>
      <c r="B7" s="126" t="s">
        <v>1828</v>
      </c>
      <c r="C7" s="10">
        <v>8819.3700000000008</v>
      </c>
      <c r="D7" s="10">
        <v>5884.81</v>
      </c>
      <c r="E7" s="10">
        <v>8235.83</v>
      </c>
      <c r="F7" s="10">
        <v>6934.88</v>
      </c>
      <c r="G7" s="10">
        <v>7443.24</v>
      </c>
      <c r="H7" s="10">
        <v>5600</v>
      </c>
      <c r="I7" s="10">
        <f>+intro!K388</f>
        <v>4470</v>
      </c>
    </row>
    <row r="8" spans="1:9" x14ac:dyDescent="0.2">
      <c r="A8" t="s">
        <v>1450</v>
      </c>
      <c r="B8" s="126" t="s">
        <v>2044</v>
      </c>
      <c r="C8" s="10">
        <v>9316</v>
      </c>
      <c r="D8" s="10">
        <v>24072</v>
      </c>
      <c r="E8" s="10">
        <v>12308</v>
      </c>
      <c r="F8" s="10">
        <v>11832</v>
      </c>
      <c r="G8" s="10">
        <v>26010</v>
      </c>
      <c r="H8" s="10">
        <v>12000</v>
      </c>
      <c r="I8" s="10">
        <f>+H8</f>
        <v>12000</v>
      </c>
    </row>
    <row r="9" spans="1:9" x14ac:dyDescent="0.2">
      <c r="A9" t="s">
        <v>1451</v>
      </c>
      <c r="B9" s="126" t="s">
        <v>2045</v>
      </c>
      <c r="C9" s="10">
        <v>5474.05</v>
      </c>
      <c r="D9" s="10">
        <v>6662.99</v>
      </c>
      <c r="E9" s="10">
        <v>5947.99</v>
      </c>
      <c r="F9" s="10">
        <v>6900.66</v>
      </c>
      <c r="G9" s="10">
        <v>10113.370000000001</v>
      </c>
      <c r="H9" s="10">
        <v>5500</v>
      </c>
      <c r="I9" s="10">
        <f t="shared" ref="H9:I12" si="0">+H9</f>
        <v>5500</v>
      </c>
    </row>
    <row r="10" spans="1:9" x14ac:dyDescent="0.2">
      <c r="A10" t="s">
        <v>1452</v>
      </c>
      <c r="B10" s="126" t="s">
        <v>1761</v>
      </c>
      <c r="C10" s="10">
        <v>1477.7</v>
      </c>
      <c r="D10" s="10">
        <v>3308.17</v>
      </c>
      <c r="E10" s="10">
        <v>2736.73</v>
      </c>
      <c r="F10" s="10">
        <v>2032.12</v>
      </c>
      <c r="G10" s="10">
        <v>3484.69</v>
      </c>
      <c r="H10" s="10">
        <v>50</v>
      </c>
      <c r="I10" s="10">
        <v>6000</v>
      </c>
    </row>
    <row r="11" spans="1:9" x14ac:dyDescent="0.2">
      <c r="A11" t="s">
        <v>1695</v>
      </c>
      <c r="B11" s="126" t="s">
        <v>2046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f t="shared" si="0"/>
        <v>0</v>
      </c>
      <c r="I11" s="10">
        <f t="shared" si="0"/>
        <v>0</v>
      </c>
    </row>
    <row r="12" spans="1:9" x14ac:dyDescent="0.2">
      <c r="A12" t="s">
        <v>1453</v>
      </c>
      <c r="B12" s="126" t="s">
        <v>1878</v>
      </c>
      <c r="C12" s="12">
        <v>0</v>
      </c>
      <c r="D12" s="12">
        <v>0</v>
      </c>
      <c r="E12" s="12">
        <v>9122.27</v>
      </c>
      <c r="F12" s="12">
        <v>4737.7299999999996</v>
      </c>
      <c r="G12" s="12">
        <v>0</v>
      </c>
      <c r="H12" s="10">
        <f t="shared" si="0"/>
        <v>0</v>
      </c>
      <c r="I12" s="10">
        <f t="shared" si="0"/>
        <v>0</v>
      </c>
    </row>
    <row r="13" spans="1:9" ht="13.5" thickBot="1" x14ac:dyDescent="0.25">
      <c r="A13" t="s">
        <v>1433</v>
      </c>
      <c r="B13" s="6" t="s">
        <v>137</v>
      </c>
      <c r="C13" s="36">
        <f t="shared" ref="C13:G13" si="1">SUM(C6:C12)</f>
        <v>222614.69999999998</v>
      </c>
      <c r="D13" s="36">
        <f t="shared" si="1"/>
        <v>227568.2</v>
      </c>
      <c r="E13" s="36">
        <f t="shared" si="1"/>
        <v>240131.80999999997</v>
      </c>
      <c r="F13" s="36">
        <f t="shared" si="1"/>
        <v>259963.97</v>
      </c>
      <c r="G13" s="36">
        <f t="shared" si="1"/>
        <v>290077.44</v>
      </c>
      <c r="H13" s="135">
        <f t="shared" ref="H13:I13" si="2">SUM(H6:H12)</f>
        <v>228837.47536692323</v>
      </c>
      <c r="I13" s="135">
        <f t="shared" si="2"/>
        <v>205500.13166447607</v>
      </c>
    </row>
    <row r="14" spans="1:9" ht="13.5" thickTop="1" x14ac:dyDescent="0.2">
      <c r="C14" s="10"/>
      <c r="D14" s="10"/>
      <c r="E14" s="10"/>
      <c r="F14" s="10"/>
      <c r="G14" s="10"/>
      <c r="H14" s="10"/>
      <c r="I14" s="10"/>
    </row>
    <row r="15" spans="1:9" x14ac:dyDescent="0.2">
      <c r="A15" t="s">
        <v>1433</v>
      </c>
      <c r="C15" s="10"/>
      <c r="D15" s="10"/>
      <c r="E15" s="10"/>
      <c r="F15" s="10"/>
      <c r="G15" s="10"/>
      <c r="H15" s="10"/>
      <c r="I15" s="10"/>
    </row>
    <row r="16" spans="1:9" x14ac:dyDescent="0.2">
      <c r="A16" s="203">
        <v>110.69499999999999</v>
      </c>
      <c r="B16" s="4" t="s">
        <v>861</v>
      </c>
      <c r="C16" s="10"/>
      <c r="D16" s="10"/>
      <c r="E16" s="10"/>
      <c r="F16" s="10"/>
      <c r="G16" s="10"/>
      <c r="H16" s="10"/>
      <c r="I16" s="10"/>
    </row>
    <row r="17" spans="1:9" x14ac:dyDescent="0.2">
      <c r="A17" t="s">
        <v>526</v>
      </c>
      <c r="B17" s="126" t="s">
        <v>2047</v>
      </c>
      <c r="C17" s="10">
        <v>61500.92</v>
      </c>
      <c r="D17" s="10">
        <v>64575.94</v>
      </c>
      <c r="E17" s="10">
        <v>65382.89</v>
      </c>
      <c r="F17" s="10">
        <v>75794.320000000007</v>
      </c>
      <c r="G17" s="10">
        <v>69174.86</v>
      </c>
      <c r="H17" s="10">
        <v>73700</v>
      </c>
      <c r="I17" s="10">
        <v>78000</v>
      </c>
    </row>
    <row r="18" spans="1:9" x14ac:dyDescent="0.2">
      <c r="A18" t="s">
        <v>527</v>
      </c>
      <c r="B18" s="126" t="s">
        <v>2048</v>
      </c>
      <c r="C18" s="10">
        <v>57865.08</v>
      </c>
      <c r="D18" s="10">
        <v>60758.1</v>
      </c>
      <c r="E18" s="10">
        <v>61555.040000000001</v>
      </c>
      <c r="F18" s="10">
        <v>62758.02</v>
      </c>
      <c r="G18" s="10">
        <v>69116.12</v>
      </c>
      <c r="H18" s="10">
        <v>73700</v>
      </c>
      <c r="I18" s="10">
        <v>78000</v>
      </c>
    </row>
    <row r="19" spans="1:9" x14ac:dyDescent="0.2">
      <c r="A19" t="s">
        <v>415</v>
      </c>
      <c r="B19" s="126" t="s">
        <v>2049</v>
      </c>
      <c r="C19" s="10">
        <v>4100</v>
      </c>
      <c r="D19" s="10">
        <v>7894</v>
      </c>
      <c r="E19" s="10">
        <v>12105.86</v>
      </c>
      <c r="F19" s="10">
        <v>15320</v>
      </c>
      <c r="G19" s="10">
        <v>10786</v>
      </c>
      <c r="H19" s="10">
        <v>14000</v>
      </c>
      <c r="I19" s="10">
        <f t="shared" ref="H19:I31" si="3">+H19</f>
        <v>14000</v>
      </c>
    </row>
    <row r="20" spans="1:9" x14ac:dyDescent="0.2">
      <c r="A20" t="s">
        <v>528</v>
      </c>
      <c r="B20" s="126" t="s">
        <v>1889</v>
      </c>
      <c r="C20" s="10">
        <v>297.73</v>
      </c>
      <c r="D20" s="10">
        <v>588.54</v>
      </c>
      <c r="E20" s="10">
        <v>657.58</v>
      </c>
      <c r="F20" s="10">
        <v>696.8</v>
      </c>
      <c r="G20" s="10">
        <v>246.9</v>
      </c>
      <c r="H20" s="10">
        <v>300</v>
      </c>
      <c r="I20" s="10">
        <v>360</v>
      </c>
    </row>
    <row r="21" spans="1:9" x14ac:dyDescent="0.2">
      <c r="A21" t="s">
        <v>529</v>
      </c>
      <c r="B21" s="126" t="s">
        <v>1891</v>
      </c>
      <c r="C21" s="10">
        <v>8317.06</v>
      </c>
      <c r="D21" s="10">
        <v>8702.11</v>
      </c>
      <c r="E21" s="10">
        <v>8759.7000000000007</v>
      </c>
      <c r="F21" s="10">
        <v>10021.31</v>
      </c>
      <c r="G21" s="10">
        <v>9976.3700000000008</v>
      </c>
      <c r="H21" s="10">
        <v>11299</v>
      </c>
      <c r="I21" s="10">
        <v>11962</v>
      </c>
    </row>
    <row r="22" spans="1:9" x14ac:dyDescent="0.2">
      <c r="A22" t="s">
        <v>530</v>
      </c>
      <c r="B22" s="126" t="s">
        <v>1892</v>
      </c>
      <c r="C22" s="10">
        <v>14013.82</v>
      </c>
      <c r="D22" s="10">
        <v>14940.58</v>
      </c>
      <c r="E22" s="10">
        <v>15708.13</v>
      </c>
      <c r="F22" s="10">
        <v>15979.56</v>
      </c>
      <c r="G22" s="10">
        <v>17233.91</v>
      </c>
      <c r="H22" s="10">
        <v>18374</v>
      </c>
      <c r="I22" s="10">
        <v>19467</v>
      </c>
    </row>
    <row r="23" spans="1:9" x14ac:dyDescent="0.2">
      <c r="A23" t="s">
        <v>531</v>
      </c>
      <c r="B23" s="126" t="s">
        <v>1893</v>
      </c>
      <c r="C23" s="10">
        <v>13920</v>
      </c>
      <c r="D23" s="10">
        <v>15530</v>
      </c>
      <c r="E23" s="10">
        <v>15600</v>
      </c>
      <c r="F23" s="10">
        <v>13650</v>
      </c>
      <c r="G23" s="10">
        <v>15600</v>
      </c>
      <c r="H23" s="10">
        <v>15756</v>
      </c>
      <c r="I23" s="10">
        <v>15600</v>
      </c>
    </row>
    <row r="24" spans="1:9" x14ac:dyDescent="0.2">
      <c r="A24" t="s">
        <v>532</v>
      </c>
      <c r="B24" s="126" t="s">
        <v>2050</v>
      </c>
      <c r="C24" s="10">
        <v>3330</v>
      </c>
      <c r="D24" s="10">
        <v>4290</v>
      </c>
      <c r="E24" s="10">
        <v>3980</v>
      </c>
      <c r="F24" s="10">
        <v>5520</v>
      </c>
      <c r="G24" s="10">
        <v>6260</v>
      </c>
      <c r="H24" s="10">
        <v>3800</v>
      </c>
      <c r="I24" s="10">
        <v>6500</v>
      </c>
    </row>
    <row r="25" spans="1:9" x14ac:dyDescent="0.2">
      <c r="A25" t="s">
        <v>533</v>
      </c>
      <c r="B25" s="126" t="s">
        <v>2051</v>
      </c>
      <c r="C25" s="10">
        <v>2490</v>
      </c>
      <c r="D25" s="10">
        <v>1840</v>
      </c>
      <c r="E25" s="10">
        <v>1740</v>
      </c>
      <c r="F25" s="10">
        <v>3180</v>
      </c>
      <c r="G25" s="10">
        <v>0</v>
      </c>
      <c r="H25" s="10">
        <v>2500</v>
      </c>
      <c r="I25" s="10">
        <v>3250</v>
      </c>
    </row>
    <row r="26" spans="1:9" x14ac:dyDescent="0.2">
      <c r="A26" t="s">
        <v>534</v>
      </c>
      <c r="B26" s="126" t="s">
        <v>2052</v>
      </c>
      <c r="C26" s="10">
        <v>40374.71</v>
      </c>
      <c r="D26" s="10">
        <v>48661</v>
      </c>
      <c r="E26" s="10">
        <v>20782</v>
      </c>
      <c r="F26" s="10">
        <v>16897</v>
      </c>
      <c r="G26" s="10">
        <v>46279.13</v>
      </c>
      <c r="H26" s="10">
        <v>50000</v>
      </c>
      <c r="I26" s="10">
        <v>60000</v>
      </c>
    </row>
    <row r="27" spans="1:9" x14ac:dyDescent="0.2">
      <c r="A27" t="s">
        <v>535</v>
      </c>
      <c r="B27" s="126" t="s">
        <v>2053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f t="shared" si="3"/>
        <v>0</v>
      </c>
    </row>
    <row r="28" spans="1:9" x14ac:dyDescent="0.2">
      <c r="A28" t="s">
        <v>536</v>
      </c>
      <c r="B28" s="126" t="s">
        <v>2054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0">
        <v>0</v>
      </c>
      <c r="I28" s="10">
        <f t="shared" si="3"/>
        <v>0</v>
      </c>
    </row>
    <row r="29" spans="1:9" x14ac:dyDescent="0.2">
      <c r="A29" t="s">
        <v>1522</v>
      </c>
      <c r="B29" s="126" t="s">
        <v>2055</v>
      </c>
      <c r="C29" s="18">
        <v>130</v>
      </c>
      <c r="D29" s="18">
        <v>40</v>
      </c>
      <c r="E29" s="18">
        <v>0</v>
      </c>
      <c r="F29" s="18">
        <v>0</v>
      </c>
      <c r="G29" s="18">
        <v>0</v>
      </c>
      <c r="H29" s="10">
        <v>400</v>
      </c>
      <c r="I29" s="10">
        <f t="shared" si="3"/>
        <v>400</v>
      </c>
    </row>
    <row r="30" spans="1:9" x14ac:dyDescent="0.2">
      <c r="A30" t="s">
        <v>537</v>
      </c>
      <c r="B30" s="126" t="s">
        <v>1878</v>
      </c>
      <c r="C30" s="10">
        <v>0</v>
      </c>
      <c r="D30" s="10">
        <v>0</v>
      </c>
      <c r="E30" s="10">
        <v>42.05</v>
      </c>
      <c r="F30" s="10">
        <v>747.6</v>
      </c>
      <c r="G30" s="10">
        <v>0</v>
      </c>
      <c r="H30" s="10">
        <v>300</v>
      </c>
      <c r="I30" s="10">
        <f t="shared" si="3"/>
        <v>300</v>
      </c>
    </row>
    <row r="31" spans="1:9" x14ac:dyDescent="0.2">
      <c r="A31" t="s">
        <v>538</v>
      </c>
      <c r="B31" s="126" t="s">
        <v>1900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0">
        <f t="shared" si="3"/>
        <v>0</v>
      </c>
      <c r="I31" s="10">
        <f t="shared" si="3"/>
        <v>0</v>
      </c>
    </row>
    <row r="32" spans="1:9" ht="13.5" thickBot="1" x14ac:dyDescent="0.25">
      <c r="B32" s="6" t="s">
        <v>1341</v>
      </c>
      <c r="C32" s="135">
        <f t="shared" ref="C32:G32" si="4">SUM(C17:C31)</f>
        <v>206339.32</v>
      </c>
      <c r="D32" s="135">
        <f t="shared" si="4"/>
        <v>227820.27</v>
      </c>
      <c r="E32" s="135">
        <f t="shared" si="4"/>
        <v>206313.24999999997</v>
      </c>
      <c r="F32" s="135">
        <f t="shared" si="4"/>
        <v>220564.61</v>
      </c>
      <c r="G32" s="135">
        <f t="shared" si="4"/>
        <v>244673.28999999998</v>
      </c>
      <c r="H32" s="135">
        <f t="shared" ref="H32:I32" si="5">SUM(H17:H31)</f>
        <v>264129</v>
      </c>
      <c r="I32" s="135">
        <f t="shared" si="5"/>
        <v>287839</v>
      </c>
    </row>
    <row r="33" spans="2:9" ht="13.5" thickTop="1" x14ac:dyDescent="0.2">
      <c r="B33" s="6"/>
      <c r="C33" s="10"/>
      <c r="D33" s="10"/>
      <c r="E33" s="10"/>
      <c r="F33" s="10"/>
      <c r="G33" s="10"/>
      <c r="H33" s="10"/>
      <c r="I33" s="10"/>
    </row>
    <row r="34" spans="2:9" x14ac:dyDescent="0.2">
      <c r="B34" s="6"/>
      <c r="C34" s="10"/>
      <c r="D34" s="10"/>
      <c r="E34" s="10"/>
      <c r="F34" s="10"/>
      <c r="G34" s="10"/>
      <c r="H34" s="10"/>
      <c r="I34" s="10"/>
    </row>
    <row r="35" spans="2:9" x14ac:dyDescent="0.2">
      <c r="B35" s="4" t="s">
        <v>1342</v>
      </c>
      <c r="C35" s="10"/>
      <c r="D35" s="10"/>
      <c r="E35" s="10"/>
      <c r="F35" s="10"/>
      <c r="G35" s="10"/>
      <c r="H35" s="10"/>
      <c r="I35" s="10"/>
    </row>
    <row r="36" spans="2:9" x14ac:dyDescent="0.2">
      <c r="B36" s="4" t="s">
        <v>525</v>
      </c>
      <c r="C36" s="10"/>
      <c r="D36" s="10"/>
      <c r="E36" s="10"/>
      <c r="F36" s="10"/>
      <c r="G36" s="10"/>
      <c r="H36" s="10"/>
      <c r="I36" s="10"/>
    </row>
    <row r="37" spans="2:9" x14ac:dyDescent="0.2">
      <c r="B37" s="4" t="s">
        <v>1343</v>
      </c>
      <c r="C37" s="10"/>
      <c r="D37" s="10"/>
      <c r="E37" s="10"/>
      <c r="F37" s="10"/>
      <c r="G37" s="10"/>
      <c r="H37" s="10"/>
      <c r="I37" s="10"/>
    </row>
    <row r="38" spans="2:9" x14ac:dyDescent="0.2">
      <c r="B38" s="6"/>
      <c r="C38" s="129" t="str">
        <f t="shared" ref="C38:G38" si="6">+C4</f>
        <v>2018 ACTUAL</v>
      </c>
      <c r="D38" s="129" t="str">
        <f t="shared" si="6"/>
        <v>2019 ACTUAL</v>
      </c>
      <c r="E38" s="129" t="str">
        <f t="shared" si="6"/>
        <v>2020 ACTUAL</v>
      </c>
      <c r="F38" s="129" t="str">
        <f t="shared" si="6"/>
        <v>2021 ACTUAL</v>
      </c>
      <c r="G38" s="129" t="str">
        <f t="shared" si="6"/>
        <v>2022 ACTUAL</v>
      </c>
      <c r="H38" s="129" t="str">
        <f t="shared" ref="H38:I38" si="7">+H4</f>
        <v xml:space="preserve">2023 BUDGET </v>
      </c>
      <c r="I38" s="129" t="str">
        <f t="shared" si="7"/>
        <v xml:space="preserve">2024 BUDGET </v>
      </c>
    </row>
    <row r="39" spans="2:9" x14ac:dyDescent="0.2">
      <c r="C39" s="10"/>
      <c r="D39" s="10"/>
      <c r="E39" s="10"/>
      <c r="F39" s="10"/>
      <c r="G39" s="10"/>
      <c r="H39" s="10"/>
      <c r="I39" s="10"/>
    </row>
    <row r="40" spans="2:9" x14ac:dyDescent="0.2">
      <c r="B40" t="s">
        <v>2436</v>
      </c>
      <c r="C40" s="10">
        <v>32613.01</v>
      </c>
      <c r="D40" s="10">
        <f t="shared" ref="D40:I40" si="8">C48</f>
        <v>48888.389999999985</v>
      </c>
      <c r="E40" s="10">
        <f t="shared" si="8"/>
        <v>48636.319999999978</v>
      </c>
      <c r="F40" s="10">
        <f t="shared" si="8"/>
        <v>82454.879999999976</v>
      </c>
      <c r="G40" s="10">
        <f t="shared" si="8"/>
        <v>121854.23999999999</v>
      </c>
      <c r="H40" s="10">
        <f t="shared" si="8"/>
        <v>167258.39000000001</v>
      </c>
      <c r="I40" s="10">
        <f t="shared" si="8"/>
        <v>131966.86536692327</v>
      </c>
    </row>
    <row r="41" spans="2:9" x14ac:dyDescent="0.2">
      <c r="C41" s="10"/>
      <c r="D41" s="10"/>
      <c r="E41" s="10"/>
      <c r="F41" s="10"/>
      <c r="G41" s="10"/>
      <c r="H41" s="10"/>
      <c r="I41" s="10"/>
    </row>
    <row r="42" spans="2:9" x14ac:dyDescent="0.2">
      <c r="B42" t="s">
        <v>113</v>
      </c>
      <c r="C42" s="10">
        <f t="shared" ref="C42:G42" si="9">C13</f>
        <v>222614.69999999998</v>
      </c>
      <c r="D42" s="10">
        <f t="shared" si="9"/>
        <v>227568.2</v>
      </c>
      <c r="E42" s="10">
        <f t="shared" si="9"/>
        <v>240131.80999999997</v>
      </c>
      <c r="F42" s="10">
        <f t="shared" si="9"/>
        <v>259963.97</v>
      </c>
      <c r="G42" s="10">
        <f t="shared" si="9"/>
        <v>290077.44</v>
      </c>
      <c r="H42" s="10">
        <f t="shared" ref="H42:I42" si="10">H13</f>
        <v>228837.47536692323</v>
      </c>
      <c r="I42" s="10">
        <f t="shared" si="10"/>
        <v>205500.13166447607</v>
      </c>
    </row>
    <row r="43" spans="2:9" x14ac:dyDescent="0.2">
      <c r="C43" s="10"/>
      <c r="D43" s="10"/>
      <c r="E43" s="10"/>
      <c r="F43" s="10"/>
      <c r="G43" s="10"/>
      <c r="H43" s="10"/>
      <c r="I43" s="10"/>
    </row>
    <row r="44" spans="2:9" x14ac:dyDescent="0.2">
      <c r="B44" t="s">
        <v>1427</v>
      </c>
      <c r="C44" s="10">
        <f t="shared" ref="C44:G44" si="11">C32</f>
        <v>206339.32</v>
      </c>
      <c r="D44" s="10">
        <f t="shared" si="11"/>
        <v>227820.27</v>
      </c>
      <c r="E44" s="10">
        <f t="shared" si="11"/>
        <v>206313.24999999997</v>
      </c>
      <c r="F44" s="10">
        <f t="shared" si="11"/>
        <v>220564.61</v>
      </c>
      <c r="G44" s="10">
        <f t="shared" si="11"/>
        <v>244673.28999999998</v>
      </c>
      <c r="H44" s="10">
        <f t="shared" ref="H44:I44" si="12">H32</f>
        <v>264129</v>
      </c>
      <c r="I44" s="10">
        <f t="shared" si="12"/>
        <v>287839</v>
      </c>
    </row>
    <row r="45" spans="2:9" x14ac:dyDescent="0.2">
      <c r="C45" s="10"/>
      <c r="D45" s="10"/>
      <c r="E45" s="10"/>
      <c r="F45" s="10"/>
      <c r="G45" s="10"/>
      <c r="H45" s="10"/>
      <c r="I45" s="10"/>
    </row>
    <row r="46" spans="2:9" x14ac:dyDescent="0.2">
      <c r="B46" t="s">
        <v>1347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2:9" x14ac:dyDescent="0.2">
      <c r="C47" s="10"/>
      <c r="D47" s="10"/>
      <c r="E47" s="10"/>
      <c r="F47" s="10"/>
      <c r="G47" s="10"/>
      <c r="H47" s="10"/>
      <c r="I47" s="10"/>
    </row>
    <row r="48" spans="2:9" ht="13.5" thickBot="1" x14ac:dyDescent="0.25">
      <c r="B48" t="s">
        <v>1348</v>
      </c>
      <c r="C48" s="135">
        <f t="shared" ref="C48:G48" si="13">C40+C42-C44+C46</f>
        <v>48888.389999999985</v>
      </c>
      <c r="D48" s="135">
        <f t="shared" si="13"/>
        <v>48636.319999999978</v>
      </c>
      <c r="E48" s="135">
        <f t="shared" si="13"/>
        <v>82454.879999999976</v>
      </c>
      <c r="F48" s="135">
        <f t="shared" si="13"/>
        <v>121854.23999999999</v>
      </c>
      <c r="G48" s="135">
        <f t="shared" si="13"/>
        <v>167258.39000000001</v>
      </c>
      <c r="H48" s="135">
        <f t="shared" ref="H48:I48" si="14">H40+H42-H44+H46</f>
        <v>131966.86536692327</v>
      </c>
      <c r="I48" s="135">
        <f t="shared" si="14"/>
        <v>49627.99703139934</v>
      </c>
    </row>
    <row r="49" spans="3:7" ht="13.5" thickTop="1" x14ac:dyDescent="0.2">
      <c r="C49" s="10"/>
    </row>
    <row r="50" spans="3:7" x14ac:dyDescent="0.2">
      <c r="C50" s="10"/>
      <c r="E50" s="115"/>
      <c r="G50" s="10"/>
    </row>
    <row r="51" spans="3:7" x14ac:dyDescent="0.2">
      <c r="C51" s="10"/>
      <c r="G51" s="10"/>
    </row>
    <row r="52" spans="3:7" x14ac:dyDescent="0.2">
      <c r="G52" s="10"/>
    </row>
  </sheetData>
  <phoneticPr fontId="2" type="noConversion"/>
  <pageMargins left="0.5" right="0.5" top="1" bottom="1" header="0.5" footer="0.5"/>
  <pageSetup scale="78" firstPageNumber="19" fitToWidth="0" fitToHeight="0" orientation="portrait" useFirstPageNumber="1" r:id="rId1"/>
  <headerFooter alignWithMargins="0"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G128"/>
  <sheetViews>
    <sheetView zoomScaleNormal="100" workbookViewId="0">
      <selection activeCell="B3" sqref="B3"/>
    </sheetView>
  </sheetViews>
  <sheetFormatPr defaultRowHeight="12.75" x14ac:dyDescent="0.2"/>
  <cols>
    <col min="1" max="1" width="14.85546875" bestFit="1" customWidth="1"/>
    <col min="2" max="2" width="40" customWidth="1"/>
    <col min="3" max="4" width="13.140625" bestFit="1" customWidth="1"/>
    <col min="5" max="7" width="13.28515625" bestFit="1" customWidth="1"/>
  </cols>
  <sheetData>
    <row r="1" spans="1:7" x14ac:dyDescent="0.2">
      <c r="A1" s="16" t="s">
        <v>1433</v>
      </c>
      <c r="B1" s="4" t="s">
        <v>653</v>
      </c>
    </row>
    <row r="2" spans="1:7" x14ac:dyDescent="0.2">
      <c r="A2" s="16"/>
      <c r="B2" s="4" t="s">
        <v>1542</v>
      </c>
    </row>
    <row r="3" spans="1:7" x14ac:dyDescent="0.2">
      <c r="A3" s="16"/>
      <c r="B3" s="124" t="s">
        <v>2265</v>
      </c>
    </row>
    <row r="4" spans="1:7" x14ac:dyDescent="0.2">
      <c r="A4" s="16"/>
      <c r="C4" s="7" t="e">
        <f>+'100-Genl'!#REF!</f>
        <v>#REF!</v>
      </c>
      <c r="D4" s="7" t="str">
        <f>+'100-Genl'!C4</f>
        <v>2018 ACTUAL</v>
      </c>
      <c r="E4" s="7" t="str">
        <f>+'100-Genl'!D4</f>
        <v>2019 ACTUAL</v>
      </c>
      <c r="F4" s="7" t="str">
        <f>+'100-Genl'!E4</f>
        <v>2020 ACTUAL</v>
      </c>
      <c r="G4" s="7" t="str">
        <f>+'100-Genl'!F4</f>
        <v>2021 ACTUAL</v>
      </c>
    </row>
    <row r="5" spans="1:7" x14ac:dyDescent="0.2">
      <c r="A5" s="16" t="s">
        <v>1433</v>
      </c>
      <c r="B5" s="4" t="s">
        <v>313</v>
      </c>
    </row>
    <row r="6" spans="1:7" x14ac:dyDescent="0.2">
      <c r="A6" s="16" t="s">
        <v>1230</v>
      </c>
      <c r="B6" t="s">
        <v>1425</v>
      </c>
      <c r="C6" s="8">
        <v>0</v>
      </c>
      <c r="D6" s="8">
        <v>0</v>
      </c>
      <c r="E6" s="8">
        <v>0</v>
      </c>
      <c r="F6" s="8">
        <v>0</v>
      </c>
      <c r="G6" s="8">
        <v>0</v>
      </c>
    </row>
    <row r="7" spans="1:7" x14ac:dyDescent="0.2">
      <c r="A7" s="16" t="s">
        <v>1231</v>
      </c>
      <c r="B7" t="s">
        <v>1426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</row>
    <row r="8" spans="1:7" x14ac:dyDescent="0.2">
      <c r="A8" s="16" t="s">
        <v>1232</v>
      </c>
      <c r="B8" t="s">
        <v>972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ht="13.5" thickBot="1" x14ac:dyDescent="0.25">
      <c r="A9" s="16"/>
      <c r="B9" s="6" t="s">
        <v>137</v>
      </c>
      <c r="C9" s="14">
        <f>SUM(C6:C8)</f>
        <v>0</v>
      </c>
      <c r="D9" s="14">
        <f>SUM(D6:D8)</f>
        <v>0</v>
      </c>
      <c r="E9" s="14">
        <f>SUM(E6:E8)</f>
        <v>0</v>
      </c>
      <c r="F9" s="14">
        <f>SUM(F6:F8)</f>
        <v>0</v>
      </c>
      <c r="G9" s="14">
        <f>SUM(G6:G8)</f>
        <v>0</v>
      </c>
    </row>
    <row r="10" spans="1:7" ht="13.5" thickTop="1" x14ac:dyDescent="0.2">
      <c r="A10" s="16"/>
    </row>
    <row r="11" spans="1:7" x14ac:dyDescent="0.2">
      <c r="A11" s="16"/>
      <c r="B11" s="4" t="s">
        <v>861</v>
      </c>
    </row>
    <row r="12" spans="1:7" x14ac:dyDescent="0.2">
      <c r="A12" s="16" t="s">
        <v>1543</v>
      </c>
      <c r="B12" t="s">
        <v>162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ht="13.5" thickBot="1" x14ac:dyDescent="0.25">
      <c r="A13" s="16"/>
      <c r="B13" s="6" t="s">
        <v>1341</v>
      </c>
      <c r="C13" s="27">
        <f>SUM(C12)</f>
        <v>0</v>
      </c>
      <c r="D13" s="27">
        <f>SUM(D12)</f>
        <v>0</v>
      </c>
      <c r="E13" s="27">
        <f>SUM(E12)</f>
        <v>0</v>
      </c>
      <c r="F13" s="27">
        <f>SUM(F12)</f>
        <v>0</v>
      </c>
      <c r="G13" s="27">
        <f>SUM(G12)</f>
        <v>0</v>
      </c>
    </row>
    <row r="14" spans="1:7" ht="13.5" thickTop="1" x14ac:dyDescent="0.2">
      <c r="A14" s="16" t="s">
        <v>1433</v>
      </c>
      <c r="B14" s="6"/>
    </row>
    <row r="15" spans="1:7" x14ac:dyDescent="0.2">
      <c r="A15" s="16"/>
      <c r="B15" s="4" t="s">
        <v>653</v>
      </c>
    </row>
    <row r="16" spans="1:7" x14ac:dyDescent="0.2">
      <c r="A16" s="16"/>
      <c r="B16" s="4" t="s">
        <v>1542</v>
      </c>
    </row>
    <row r="17" spans="1:7" x14ac:dyDescent="0.2">
      <c r="A17" s="16"/>
      <c r="B17" s="4" t="s">
        <v>1343</v>
      </c>
    </row>
    <row r="18" spans="1:7" x14ac:dyDescent="0.2">
      <c r="A18" s="16"/>
      <c r="C18" s="7" t="e">
        <f>+C4</f>
        <v>#REF!</v>
      </c>
      <c r="D18" s="7" t="str">
        <f>+D4</f>
        <v>2018 ACTUAL</v>
      </c>
      <c r="E18" s="7" t="str">
        <f>+E4</f>
        <v>2019 ACTUAL</v>
      </c>
      <c r="F18" s="7" t="str">
        <f>+F4</f>
        <v>2020 ACTUAL</v>
      </c>
      <c r="G18" s="7" t="str">
        <f>+G4</f>
        <v>2021 ACTUAL</v>
      </c>
    </row>
    <row r="19" spans="1:7" x14ac:dyDescent="0.2">
      <c r="A19" s="16"/>
    </row>
    <row r="20" spans="1:7" x14ac:dyDescent="0.2">
      <c r="A20" s="16"/>
      <c r="B20" t="s">
        <v>1344</v>
      </c>
      <c r="C20" s="8">
        <v>0</v>
      </c>
      <c r="D20" s="8">
        <f>C28</f>
        <v>0</v>
      </c>
      <c r="E20" s="8">
        <f>D28</f>
        <v>0</v>
      </c>
      <c r="F20" s="8">
        <f>E28</f>
        <v>0</v>
      </c>
      <c r="G20" s="8">
        <f>F28</f>
        <v>0</v>
      </c>
    </row>
    <row r="21" spans="1:7" x14ac:dyDescent="0.2">
      <c r="A21" s="16"/>
    </row>
    <row r="22" spans="1:7" x14ac:dyDescent="0.2">
      <c r="A22" s="16"/>
      <c r="B22" t="s">
        <v>113</v>
      </c>
      <c r="C22" s="10">
        <f>C9</f>
        <v>0</v>
      </c>
      <c r="D22" s="10">
        <f>D9</f>
        <v>0</v>
      </c>
      <c r="E22" s="10">
        <f>E9</f>
        <v>0</v>
      </c>
      <c r="F22" s="10">
        <f>F9</f>
        <v>0</v>
      </c>
      <c r="G22" s="10">
        <f>G9</f>
        <v>0</v>
      </c>
    </row>
    <row r="23" spans="1:7" x14ac:dyDescent="0.2">
      <c r="A23" s="16"/>
      <c r="C23" s="10"/>
      <c r="D23" s="10"/>
      <c r="E23" s="10"/>
      <c r="F23" s="10"/>
      <c r="G23" s="10"/>
    </row>
    <row r="24" spans="1:7" x14ac:dyDescent="0.2">
      <c r="A24" s="16"/>
      <c r="B24" t="s">
        <v>1427</v>
      </c>
      <c r="C24" s="10">
        <f>C13</f>
        <v>0</v>
      </c>
      <c r="D24" s="10">
        <f>D13</f>
        <v>0</v>
      </c>
      <c r="E24" s="10">
        <f>E13</f>
        <v>0</v>
      </c>
      <c r="F24" s="10">
        <f>F13</f>
        <v>0</v>
      </c>
      <c r="G24" s="10">
        <f>G13</f>
        <v>0</v>
      </c>
    </row>
    <row r="25" spans="1:7" x14ac:dyDescent="0.2">
      <c r="A25" s="16" t="s">
        <v>1433</v>
      </c>
      <c r="C25" s="10"/>
      <c r="D25" s="10"/>
      <c r="E25" s="10"/>
      <c r="F25" s="10"/>
      <c r="G25" s="10"/>
    </row>
    <row r="26" spans="1:7" x14ac:dyDescent="0.2">
      <c r="A26" s="16"/>
      <c r="B26" t="s">
        <v>1140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</row>
    <row r="27" spans="1:7" x14ac:dyDescent="0.2">
      <c r="A27" s="16" t="s">
        <v>1433</v>
      </c>
      <c r="C27" s="10"/>
      <c r="D27" s="10"/>
      <c r="E27" s="10"/>
      <c r="F27" s="10"/>
      <c r="G27" s="10"/>
    </row>
    <row r="28" spans="1:7" ht="13.5" thickBot="1" x14ac:dyDescent="0.25">
      <c r="A28" s="16"/>
      <c r="B28" t="s">
        <v>1348</v>
      </c>
      <c r="C28" s="15">
        <f>C20+C22-C24+C26</f>
        <v>0</v>
      </c>
      <c r="D28" s="15">
        <f>D20+D22-D24+D26</f>
        <v>0</v>
      </c>
      <c r="E28" s="15">
        <f>E20+E22-E24+E26</f>
        <v>0</v>
      </c>
      <c r="F28" s="15">
        <f>F20+F22-F24+F26</f>
        <v>0</v>
      </c>
      <c r="G28" s="15">
        <f>G20+G22-G24+G26</f>
        <v>0</v>
      </c>
    </row>
    <row r="29" spans="1:7" ht="13.5" thickTop="1" x14ac:dyDescent="0.2"/>
    <row r="128" spans="4:7" x14ac:dyDescent="0.2">
      <c r="D128" s="9"/>
      <c r="E128" s="9"/>
      <c r="F128" s="9"/>
      <c r="G128" s="9"/>
    </row>
  </sheetData>
  <phoneticPr fontId="2" type="noConversion"/>
  <pageMargins left="0.25" right="0.75" top="1" bottom="1" header="0.5" footer="0.5"/>
  <pageSetup scale="85" firstPageNumber="59" orientation="portrait" useFirstPageNumber="1" r:id="rId1"/>
  <headerFooter alignWithMargins="0">
    <oddFooter>&amp;C&amp;P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L133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3.425781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s="16" t="s">
        <v>1433</v>
      </c>
      <c r="B1" s="4" t="s">
        <v>653</v>
      </c>
      <c r="C1" s="1" t="s">
        <v>1433</v>
      </c>
      <c r="D1" s="1" t="s">
        <v>1433</v>
      </c>
      <c r="E1" s="1" t="s">
        <v>1433</v>
      </c>
      <c r="F1" s="1" t="s">
        <v>1433</v>
      </c>
      <c r="G1" s="1" t="s">
        <v>1433</v>
      </c>
    </row>
    <row r="2" spans="1:9" x14ac:dyDescent="0.2">
      <c r="A2" s="16"/>
      <c r="B2" s="4" t="s">
        <v>1548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3" spans="1:9" x14ac:dyDescent="0.2">
      <c r="A3" s="16"/>
      <c r="B3" s="4"/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9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206" t="s">
        <v>2503</v>
      </c>
      <c r="B5" s="4" t="s">
        <v>313</v>
      </c>
    </row>
    <row r="6" spans="1:9" x14ac:dyDescent="0.2">
      <c r="A6" s="16" t="s">
        <v>1233</v>
      </c>
      <c r="B6" s="125" t="s">
        <v>1827</v>
      </c>
      <c r="C6" s="10">
        <v>484462.39</v>
      </c>
      <c r="D6" s="10">
        <v>106613.75999999999</v>
      </c>
      <c r="E6" s="10">
        <v>252226.23</v>
      </c>
      <c r="F6" s="10">
        <v>277298.02</v>
      </c>
      <c r="G6" s="10">
        <v>296188.09000000003</v>
      </c>
      <c r="H6" s="10">
        <v>398519.48352341377</v>
      </c>
      <c r="I6" s="10">
        <f>SUM(intro!H383)</f>
        <v>458619.50679989648</v>
      </c>
    </row>
    <row r="7" spans="1:9" x14ac:dyDescent="0.2">
      <c r="A7" s="16" t="s">
        <v>1234</v>
      </c>
      <c r="B7" s="125" t="s">
        <v>1828</v>
      </c>
      <c r="C7" s="10">
        <v>21630.6</v>
      </c>
      <c r="D7" s="10">
        <v>3343.65</v>
      </c>
      <c r="E7" s="10">
        <v>10294.790000000001</v>
      </c>
      <c r="F7" s="10">
        <v>8451.84</v>
      </c>
      <c r="G7" s="10">
        <v>9071.44</v>
      </c>
      <c r="H7" s="10">
        <v>10850</v>
      </c>
      <c r="I7" s="10">
        <f>+intro!K393</f>
        <v>11547.5</v>
      </c>
    </row>
    <row r="8" spans="1:9" x14ac:dyDescent="0.2">
      <c r="A8" s="16" t="s">
        <v>1235</v>
      </c>
      <c r="B8" s="125" t="s">
        <v>1761</v>
      </c>
      <c r="C8" s="10">
        <v>5270.08</v>
      </c>
      <c r="D8" s="10">
        <v>11839.71</v>
      </c>
      <c r="E8" s="10">
        <v>6803.96</v>
      </c>
      <c r="F8" s="10">
        <v>2726.32</v>
      </c>
      <c r="G8" s="10">
        <v>6612.43</v>
      </c>
      <c r="H8" s="10">
        <v>0</v>
      </c>
      <c r="I8" s="10">
        <v>0</v>
      </c>
    </row>
    <row r="9" spans="1:9" x14ac:dyDescent="0.2">
      <c r="A9" s="16" t="s">
        <v>2433</v>
      </c>
      <c r="B9" s="125" t="s">
        <v>2434</v>
      </c>
      <c r="C9" s="12">
        <v>0</v>
      </c>
      <c r="D9" s="12">
        <v>0</v>
      </c>
      <c r="E9" s="12">
        <v>0</v>
      </c>
      <c r="F9" s="12">
        <v>588205.12</v>
      </c>
      <c r="G9" s="12">
        <v>190015.94</v>
      </c>
      <c r="H9" s="12">
        <v>0</v>
      </c>
      <c r="I9" s="12">
        <v>0</v>
      </c>
    </row>
    <row r="10" spans="1:9" x14ac:dyDescent="0.2">
      <c r="A10" s="16"/>
      <c r="B10" s="6" t="s">
        <v>1118</v>
      </c>
      <c r="C10" s="10">
        <f t="shared" ref="C10:H10" si="0">SUM(C6:C9)</f>
        <v>511363.07</v>
      </c>
      <c r="D10" s="10">
        <f t="shared" si="0"/>
        <v>121797.12</v>
      </c>
      <c r="E10" s="10">
        <f t="shared" si="0"/>
        <v>269324.98000000004</v>
      </c>
      <c r="F10" s="10">
        <f t="shared" si="0"/>
        <v>876681.3</v>
      </c>
      <c r="G10" s="10">
        <f t="shared" si="0"/>
        <v>501887.9</v>
      </c>
      <c r="H10" s="10">
        <f t="shared" si="0"/>
        <v>409369.48352341377</v>
      </c>
      <c r="I10" s="10">
        <f t="shared" ref="I10" si="1">SUM(I6:I9)</f>
        <v>470167.00679989648</v>
      </c>
    </row>
    <row r="11" spans="1:9" x14ac:dyDescent="0.2">
      <c r="A11" s="128">
        <v>710.4</v>
      </c>
      <c r="B11" s="4" t="s">
        <v>1825</v>
      </c>
      <c r="C11" s="10"/>
      <c r="D11" s="10"/>
      <c r="E11" s="10"/>
      <c r="F11" s="10"/>
      <c r="G11" s="10"/>
      <c r="H11" s="10"/>
      <c r="I11" s="10"/>
    </row>
    <row r="12" spans="1:9" x14ac:dyDescent="0.2">
      <c r="A12" s="22" t="s">
        <v>2298</v>
      </c>
      <c r="B12" s="125" t="s">
        <v>1882</v>
      </c>
      <c r="C12" s="17">
        <v>0</v>
      </c>
      <c r="D12" s="17">
        <v>178500</v>
      </c>
      <c r="E12" s="12">
        <v>0</v>
      </c>
      <c r="F12" s="17">
        <v>0</v>
      </c>
      <c r="G12" s="17">
        <v>0</v>
      </c>
      <c r="H12" s="17">
        <v>0</v>
      </c>
      <c r="I12" s="17">
        <v>0</v>
      </c>
    </row>
    <row r="13" spans="1:9" x14ac:dyDescent="0.2">
      <c r="A13" s="22"/>
      <c r="B13" s="6" t="s">
        <v>1118</v>
      </c>
      <c r="C13" s="127">
        <f t="shared" ref="C13:F13" si="2">+C12</f>
        <v>0</v>
      </c>
      <c r="D13" s="127">
        <f t="shared" si="2"/>
        <v>178500</v>
      </c>
      <c r="E13" s="127">
        <f t="shared" si="2"/>
        <v>0</v>
      </c>
      <c r="F13" s="127">
        <f t="shared" si="2"/>
        <v>0</v>
      </c>
      <c r="G13" s="127">
        <f t="shared" ref="G13:H13" si="3">+G12</f>
        <v>0</v>
      </c>
      <c r="H13" s="127">
        <f t="shared" si="3"/>
        <v>0</v>
      </c>
      <c r="I13" s="127">
        <f t="shared" ref="I13" si="4">+I12</f>
        <v>0</v>
      </c>
    </row>
    <row r="14" spans="1:9" x14ac:dyDescent="0.2">
      <c r="A14" s="22"/>
      <c r="B14" s="6"/>
      <c r="C14" s="10"/>
      <c r="D14" s="10"/>
      <c r="E14" s="10"/>
      <c r="F14" s="10"/>
      <c r="G14" s="10"/>
      <c r="H14" s="10"/>
      <c r="I14" s="10"/>
    </row>
    <row r="15" spans="1:9" ht="13.5" thickBot="1" x14ac:dyDescent="0.25">
      <c r="A15" s="16"/>
      <c r="B15" s="6" t="s">
        <v>137</v>
      </c>
      <c r="C15" s="135">
        <f t="shared" ref="C15:F15" si="5">+C13+C10</f>
        <v>511363.07</v>
      </c>
      <c r="D15" s="135">
        <f t="shared" si="5"/>
        <v>300297.12</v>
      </c>
      <c r="E15" s="135">
        <f t="shared" si="5"/>
        <v>269324.98000000004</v>
      </c>
      <c r="F15" s="135">
        <f t="shared" si="5"/>
        <v>876681.3</v>
      </c>
      <c r="G15" s="135">
        <f t="shared" ref="G15:H15" si="6">+G13+G10</f>
        <v>501887.9</v>
      </c>
      <c r="H15" s="135">
        <f t="shared" si="6"/>
        <v>409369.48352341377</v>
      </c>
      <c r="I15" s="135">
        <f t="shared" ref="I15" si="7">+I13+I10</f>
        <v>470167.00679989648</v>
      </c>
    </row>
    <row r="16" spans="1:9" ht="13.5" thickTop="1" x14ac:dyDescent="0.2">
      <c r="A16" s="16" t="s">
        <v>1433</v>
      </c>
      <c r="C16" s="10"/>
      <c r="D16" s="10"/>
      <c r="E16" s="10"/>
      <c r="F16" s="10"/>
      <c r="G16" s="10"/>
      <c r="H16" s="10"/>
      <c r="I16" s="10"/>
    </row>
    <row r="17" spans="1:12" x14ac:dyDescent="0.2">
      <c r="A17" s="198" t="s">
        <v>2504</v>
      </c>
      <c r="B17" s="4" t="s">
        <v>861</v>
      </c>
      <c r="C17" s="10"/>
      <c r="D17" s="10"/>
      <c r="E17" s="10"/>
      <c r="F17" s="10"/>
      <c r="G17" s="10"/>
      <c r="H17" s="10"/>
      <c r="I17" s="10"/>
    </row>
    <row r="18" spans="1:12" x14ac:dyDescent="0.2">
      <c r="A18" s="16" t="s">
        <v>1544</v>
      </c>
      <c r="B18" s="125" t="s">
        <v>2266</v>
      </c>
      <c r="C18" s="17">
        <v>280367.45</v>
      </c>
      <c r="D18" s="17">
        <v>457606.19</v>
      </c>
      <c r="E18" s="17">
        <v>250026.99</v>
      </c>
      <c r="F18" s="17">
        <v>144189.95000000001</v>
      </c>
      <c r="G18" s="17">
        <v>195297.92000000001</v>
      </c>
      <c r="H18" s="17">
        <v>500000</v>
      </c>
      <c r="I18" s="17">
        <v>500000</v>
      </c>
    </row>
    <row r="19" spans="1:12" x14ac:dyDescent="0.2">
      <c r="A19" s="16" t="s">
        <v>1545</v>
      </c>
      <c r="B19" s="125" t="s">
        <v>2267</v>
      </c>
      <c r="C19" s="17">
        <v>18396.53</v>
      </c>
      <c r="D19" s="17">
        <v>32823.480000000003</v>
      </c>
      <c r="E19" s="17">
        <v>15344.54</v>
      </c>
      <c r="F19" s="17">
        <v>8387.91</v>
      </c>
      <c r="G19" s="17">
        <v>35920.620000000003</v>
      </c>
      <c r="H19" s="17">
        <v>150000</v>
      </c>
      <c r="I19" s="17">
        <v>150000</v>
      </c>
    </row>
    <row r="20" spans="1:12" x14ac:dyDescent="0.2">
      <c r="A20" s="16" t="s">
        <v>649</v>
      </c>
      <c r="B20" s="125" t="s">
        <v>2268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</row>
    <row r="21" spans="1:12" x14ac:dyDescent="0.2">
      <c r="A21" s="16" t="s">
        <v>410</v>
      </c>
      <c r="B21" s="125" t="s">
        <v>2148</v>
      </c>
      <c r="C21" s="10">
        <v>0</v>
      </c>
      <c r="D21" s="10">
        <v>0</v>
      </c>
      <c r="E21" s="10">
        <v>160000</v>
      </c>
      <c r="F21" s="10">
        <v>0</v>
      </c>
      <c r="G21" s="10">
        <v>0</v>
      </c>
      <c r="H21" s="10">
        <v>35000</v>
      </c>
      <c r="I21" s="10">
        <v>35000</v>
      </c>
      <c r="J21" s="238"/>
      <c r="K21" s="238"/>
      <c r="L21" s="238"/>
    </row>
    <row r="22" spans="1:12" x14ac:dyDescent="0.2">
      <c r="A22" s="16" t="s">
        <v>1679</v>
      </c>
      <c r="B22" s="125" t="s">
        <v>2269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12" x14ac:dyDescent="0.2">
      <c r="A23" s="16" t="s">
        <v>1546</v>
      </c>
      <c r="B23" s="125" t="s">
        <v>2270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7">
        <v>50000</v>
      </c>
      <c r="I23" s="17">
        <f t="shared" ref="I23" si="8">+H23</f>
        <v>50000</v>
      </c>
    </row>
    <row r="24" spans="1:12" x14ac:dyDescent="0.2">
      <c r="A24" s="16" t="s">
        <v>1547</v>
      </c>
      <c r="B24" s="125" t="s">
        <v>2271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7">
        <v>35000</v>
      </c>
      <c r="I24" s="17">
        <v>35000</v>
      </c>
    </row>
    <row r="25" spans="1:12" x14ac:dyDescent="0.2">
      <c r="A25" s="16" t="s">
        <v>1752</v>
      </c>
      <c r="B25" s="125" t="s">
        <v>2272</v>
      </c>
      <c r="C25" s="10">
        <v>18880</v>
      </c>
      <c r="D25" s="10">
        <v>16150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12" ht="13.5" thickBot="1" x14ac:dyDescent="0.25">
      <c r="A26" s="16"/>
      <c r="B26" s="6" t="s">
        <v>1341</v>
      </c>
      <c r="C26" s="135">
        <f t="shared" ref="C26:G26" si="9">SUM(C18:C25)</f>
        <v>317643.98</v>
      </c>
      <c r="D26" s="135">
        <f t="shared" si="9"/>
        <v>506579.67</v>
      </c>
      <c r="E26" s="135">
        <f t="shared" si="9"/>
        <v>425371.52999999997</v>
      </c>
      <c r="F26" s="135">
        <f t="shared" si="9"/>
        <v>152577.86000000002</v>
      </c>
      <c r="G26" s="135">
        <f t="shared" si="9"/>
        <v>231218.54</v>
      </c>
      <c r="H26" s="135">
        <f t="shared" ref="H26:I26" si="10">SUM(H18:H25)</f>
        <v>770000</v>
      </c>
      <c r="I26" s="135">
        <f t="shared" si="10"/>
        <v>770000</v>
      </c>
    </row>
    <row r="27" spans="1:12" ht="13.5" thickTop="1" x14ac:dyDescent="0.2">
      <c r="A27" s="16"/>
      <c r="B27" s="6"/>
      <c r="C27" s="10"/>
      <c r="D27" s="10"/>
      <c r="E27" s="10"/>
      <c r="F27" s="10"/>
      <c r="G27" s="10"/>
      <c r="H27" s="10"/>
      <c r="I27" s="10"/>
    </row>
    <row r="28" spans="1:12" x14ac:dyDescent="0.2">
      <c r="A28" s="16"/>
      <c r="B28" s="4" t="s">
        <v>653</v>
      </c>
      <c r="C28" s="10"/>
      <c r="D28" s="10"/>
      <c r="E28" s="10"/>
      <c r="F28" s="10"/>
      <c r="G28" s="10"/>
      <c r="H28" s="10"/>
      <c r="I28" s="10"/>
    </row>
    <row r="29" spans="1:12" x14ac:dyDescent="0.2">
      <c r="A29" s="16"/>
      <c r="B29" s="4" t="s">
        <v>1548</v>
      </c>
      <c r="C29" s="10"/>
      <c r="D29" s="10"/>
      <c r="E29" s="10"/>
      <c r="F29" s="10"/>
      <c r="G29" s="10"/>
      <c r="H29" s="10"/>
      <c r="I29" s="10"/>
    </row>
    <row r="30" spans="1:12" x14ac:dyDescent="0.2">
      <c r="A30" s="16" t="s">
        <v>1433</v>
      </c>
      <c r="B30" s="4" t="s">
        <v>1343</v>
      </c>
      <c r="C30" s="10"/>
      <c r="D30" s="10"/>
      <c r="E30" s="10"/>
      <c r="F30" s="10"/>
      <c r="G30" s="10"/>
      <c r="H30" s="10"/>
      <c r="I30" s="10"/>
    </row>
    <row r="31" spans="1:12" x14ac:dyDescent="0.2">
      <c r="A31" s="16"/>
      <c r="C31" s="129" t="str">
        <f t="shared" ref="C31:H31" si="11">+C4</f>
        <v>2018 ACTUAL</v>
      </c>
      <c r="D31" s="129" t="str">
        <f t="shared" si="11"/>
        <v>2019 ACTUAL</v>
      </c>
      <c r="E31" s="129" t="str">
        <f t="shared" si="11"/>
        <v>2020 ACTUAL</v>
      </c>
      <c r="F31" s="129" t="str">
        <f t="shared" si="11"/>
        <v>2021 ACTUAL</v>
      </c>
      <c r="G31" s="129" t="str">
        <f t="shared" si="11"/>
        <v>2022 ACTUAL</v>
      </c>
      <c r="H31" s="129" t="str">
        <f t="shared" si="11"/>
        <v xml:space="preserve">2023 BUDGET </v>
      </c>
      <c r="I31" s="129" t="str">
        <f t="shared" ref="I31" si="12">+I4</f>
        <v xml:space="preserve">2024 BUDGET </v>
      </c>
    </row>
    <row r="32" spans="1:12" x14ac:dyDescent="0.2">
      <c r="A32" s="16" t="s">
        <v>1433</v>
      </c>
      <c r="C32" s="112"/>
      <c r="D32" s="112"/>
      <c r="E32" s="112"/>
      <c r="F32" s="112"/>
      <c r="G32" s="112"/>
      <c r="H32" s="112"/>
      <c r="I32" s="112"/>
    </row>
    <row r="33" spans="1:9" x14ac:dyDescent="0.2">
      <c r="A33" s="16"/>
      <c r="B33" t="s">
        <v>1344</v>
      </c>
      <c r="C33" s="10">
        <v>217496.8</v>
      </c>
      <c r="D33" s="10">
        <f t="shared" ref="D33:I33" si="13">C41</f>
        <v>411215.89</v>
      </c>
      <c r="E33" s="10">
        <f t="shared" si="13"/>
        <v>204933.34000000003</v>
      </c>
      <c r="F33" s="10">
        <f t="shared" si="13"/>
        <v>48886.790000000095</v>
      </c>
      <c r="G33" s="10">
        <f t="shared" si="13"/>
        <v>772990.2300000001</v>
      </c>
      <c r="H33" s="10">
        <f t="shared" si="13"/>
        <v>1043659.5900000001</v>
      </c>
      <c r="I33" s="10">
        <f t="shared" si="13"/>
        <v>683029.07352341386</v>
      </c>
    </row>
    <row r="34" spans="1:9" x14ac:dyDescent="0.2">
      <c r="A34" s="16"/>
      <c r="C34" s="10"/>
      <c r="D34" s="10"/>
      <c r="E34" s="10"/>
      <c r="F34" s="10"/>
      <c r="G34" s="10"/>
      <c r="H34" s="10"/>
      <c r="I34" s="10"/>
    </row>
    <row r="35" spans="1:9" x14ac:dyDescent="0.2">
      <c r="A35" s="16"/>
      <c r="B35" t="s">
        <v>113</v>
      </c>
      <c r="C35" s="10">
        <f t="shared" ref="C35:G35" si="14">C15</f>
        <v>511363.07</v>
      </c>
      <c r="D35" s="10">
        <f t="shared" si="14"/>
        <v>300297.12</v>
      </c>
      <c r="E35" s="10">
        <f t="shared" si="14"/>
        <v>269324.98000000004</v>
      </c>
      <c r="F35" s="10">
        <f t="shared" si="14"/>
        <v>876681.3</v>
      </c>
      <c r="G35" s="10">
        <f t="shared" si="14"/>
        <v>501887.9</v>
      </c>
      <c r="H35" s="10">
        <f t="shared" ref="H35:I35" si="15">H15</f>
        <v>409369.48352341377</v>
      </c>
      <c r="I35" s="10">
        <f t="shared" si="15"/>
        <v>470167.00679989648</v>
      </c>
    </row>
    <row r="36" spans="1:9" x14ac:dyDescent="0.2">
      <c r="A36" s="16"/>
      <c r="C36" s="10"/>
      <c r="D36" s="10"/>
      <c r="E36" s="10"/>
      <c r="F36" s="10"/>
      <c r="G36" s="10"/>
      <c r="H36" s="10"/>
      <c r="I36" s="10"/>
    </row>
    <row r="37" spans="1:9" x14ac:dyDescent="0.2">
      <c r="B37" t="s">
        <v>1427</v>
      </c>
      <c r="C37" s="10">
        <f t="shared" ref="C37:G37" si="16">C26</f>
        <v>317643.98</v>
      </c>
      <c r="D37" s="10">
        <f t="shared" si="16"/>
        <v>506579.67</v>
      </c>
      <c r="E37" s="10">
        <f t="shared" si="16"/>
        <v>425371.52999999997</v>
      </c>
      <c r="F37" s="10">
        <f t="shared" si="16"/>
        <v>152577.86000000002</v>
      </c>
      <c r="G37" s="10">
        <f t="shared" si="16"/>
        <v>231218.54</v>
      </c>
      <c r="H37" s="10">
        <f t="shared" ref="H37:I37" si="17">H26</f>
        <v>770000</v>
      </c>
      <c r="I37" s="10">
        <f t="shared" si="17"/>
        <v>770000</v>
      </c>
    </row>
    <row r="38" spans="1:9" x14ac:dyDescent="0.2">
      <c r="C38" s="10"/>
      <c r="D38" s="10"/>
      <c r="E38" s="10"/>
      <c r="F38" s="10"/>
      <c r="G38" s="10"/>
      <c r="H38" s="10"/>
      <c r="I38" s="10"/>
    </row>
    <row r="39" spans="1:9" x14ac:dyDescent="0.2">
      <c r="B39" t="s">
        <v>163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</row>
    <row r="40" spans="1:9" x14ac:dyDescent="0.2">
      <c r="C40" s="10"/>
      <c r="D40" s="10"/>
      <c r="E40" s="10"/>
      <c r="F40" s="10"/>
      <c r="G40" s="10"/>
      <c r="H40" s="10"/>
      <c r="I40" s="10"/>
    </row>
    <row r="41" spans="1:9" ht="13.5" thickBot="1" x14ac:dyDescent="0.25">
      <c r="B41" t="s">
        <v>1348</v>
      </c>
      <c r="C41" s="36">
        <f t="shared" ref="C41:G41" si="18">C33+C35-C37+C39</f>
        <v>411215.89</v>
      </c>
      <c r="D41" s="36">
        <f t="shared" si="18"/>
        <v>204933.34000000003</v>
      </c>
      <c r="E41" s="36">
        <f t="shared" si="18"/>
        <v>48886.790000000095</v>
      </c>
      <c r="F41" s="36">
        <f t="shared" si="18"/>
        <v>772990.2300000001</v>
      </c>
      <c r="G41" s="36">
        <f t="shared" si="18"/>
        <v>1043659.5900000001</v>
      </c>
      <c r="H41" s="36">
        <f t="shared" ref="H41:I41" si="19">H33+H35-H37+H39</f>
        <v>683029.07352341386</v>
      </c>
      <c r="I41" s="36">
        <f t="shared" si="19"/>
        <v>383196.08032331034</v>
      </c>
    </row>
    <row r="42" spans="1:9" ht="13.5" thickTop="1" x14ac:dyDescent="0.2"/>
    <row r="43" spans="1:9" x14ac:dyDescent="0.2">
      <c r="C43" s="10"/>
      <c r="E43" s="115"/>
    </row>
    <row r="133" spans="3:7" x14ac:dyDescent="0.2">
      <c r="C133" s="9"/>
      <c r="D133" s="9"/>
      <c r="E133" s="9"/>
      <c r="F133" s="9"/>
      <c r="G133" s="9"/>
    </row>
  </sheetData>
  <phoneticPr fontId="2" type="noConversion"/>
  <pageMargins left="0.5" right="0.5" top="1" bottom="1" header="0.5" footer="0.5"/>
  <pageSetup scale="82" firstPageNumber="58" fitToHeight="0" orientation="portrait" useFirstPageNumber="1" r:id="rId1"/>
  <headerFooter alignWithMargins="0">
    <oddFooter>&amp;C&amp;P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I134"/>
  <sheetViews>
    <sheetView zoomScaleNormal="100" workbookViewId="0">
      <selection activeCell="F26" sqref="F26"/>
    </sheetView>
  </sheetViews>
  <sheetFormatPr defaultRowHeight="12.75" x14ac:dyDescent="0.2"/>
  <cols>
    <col min="1" max="1" width="14.85546875" bestFit="1" customWidth="1"/>
    <col min="2" max="2" width="37.85546875" customWidth="1"/>
    <col min="3" max="4" width="14.28515625" hidden="1" customWidth="1"/>
    <col min="5" max="7" width="14.28515625" customWidth="1"/>
    <col min="8" max="9" width="16.28515625" customWidth="1"/>
  </cols>
  <sheetData>
    <row r="1" spans="1:9" x14ac:dyDescent="0.2">
      <c r="A1" t="s">
        <v>1433</v>
      </c>
      <c r="B1" s="4" t="s">
        <v>653</v>
      </c>
      <c r="C1" s="1"/>
      <c r="D1" s="1"/>
      <c r="E1" s="1"/>
      <c r="F1" s="1"/>
      <c r="G1" s="1"/>
      <c r="H1" s="1"/>
      <c r="I1" s="1"/>
    </row>
    <row r="2" spans="1:9" x14ac:dyDescent="0.2">
      <c r="B2" s="4" t="s">
        <v>1549</v>
      </c>
      <c r="C2" s="1"/>
      <c r="D2" s="1"/>
      <c r="E2" s="1"/>
      <c r="F2" s="1"/>
      <c r="G2" s="1"/>
      <c r="H2" s="1"/>
      <c r="I2" s="1"/>
    </row>
    <row r="3" spans="1:9" x14ac:dyDescent="0.2">
      <c r="B3" s="4"/>
      <c r="C3" s="1"/>
      <c r="D3" s="1"/>
      <c r="E3" s="1"/>
      <c r="F3" s="1"/>
      <c r="G3" s="1"/>
      <c r="H3" s="1"/>
      <c r="I3" s="1"/>
    </row>
    <row r="4" spans="1:9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202" t="s">
        <v>2505</v>
      </c>
      <c r="B5" s="4" t="s">
        <v>313</v>
      </c>
    </row>
    <row r="6" spans="1:9" x14ac:dyDescent="0.2">
      <c r="A6" t="s">
        <v>1236</v>
      </c>
      <c r="B6" s="126" t="s">
        <v>1827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</row>
    <row r="7" spans="1:9" x14ac:dyDescent="0.2">
      <c r="A7" t="s">
        <v>1237</v>
      </c>
      <c r="B7" s="126" t="s">
        <v>1828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</row>
    <row r="8" spans="1:9" x14ac:dyDescent="0.2">
      <c r="A8" t="s">
        <v>1238</v>
      </c>
      <c r="B8" s="125" t="s">
        <v>2273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x14ac:dyDescent="0.2">
      <c r="A9" t="s">
        <v>1239</v>
      </c>
      <c r="B9" s="125" t="s">
        <v>1761</v>
      </c>
      <c r="C9" s="19">
        <v>1.1200000000000001</v>
      </c>
      <c r="D9" s="19">
        <v>1.5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</row>
    <row r="10" spans="1:9" ht="13.5" thickBot="1" x14ac:dyDescent="0.25">
      <c r="B10" s="6" t="s">
        <v>137</v>
      </c>
      <c r="C10" s="135">
        <f t="shared" ref="C10:G10" si="0">SUM(C6:C9)</f>
        <v>1.1200000000000001</v>
      </c>
      <c r="D10" s="135">
        <f t="shared" si="0"/>
        <v>1.5</v>
      </c>
      <c r="E10" s="135">
        <f t="shared" si="0"/>
        <v>0</v>
      </c>
      <c r="F10" s="135">
        <f t="shared" si="0"/>
        <v>0</v>
      </c>
      <c r="G10" s="135">
        <f t="shared" si="0"/>
        <v>0</v>
      </c>
      <c r="H10" s="135">
        <f t="shared" ref="H10:I10" si="1">SUM(H6:H9)</f>
        <v>0</v>
      </c>
      <c r="I10" s="135">
        <f t="shared" si="1"/>
        <v>0</v>
      </c>
    </row>
    <row r="11" spans="1:9" ht="13.5" thickTop="1" x14ac:dyDescent="0.2">
      <c r="C11" s="10"/>
      <c r="D11" s="10"/>
      <c r="E11" s="10"/>
      <c r="F11" s="10"/>
      <c r="G11" s="10"/>
      <c r="H11" s="10"/>
      <c r="I11" s="10"/>
    </row>
    <row r="12" spans="1:9" x14ac:dyDescent="0.2">
      <c r="A12" s="23"/>
      <c r="B12" s="4" t="s">
        <v>861</v>
      </c>
      <c r="C12" s="10"/>
      <c r="D12" s="10"/>
      <c r="E12" s="10"/>
      <c r="F12" s="10"/>
      <c r="G12" s="10"/>
      <c r="H12" s="10"/>
      <c r="I12" s="10"/>
    </row>
    <row r="13" spans="1:9" x14ac:dyDescent="0.2">
      <c r="A13" s="128">
        <v>720.4</v>
      </c>
      <c r="B13" s="4" t="s">
        <v>1825</v>
      </c>
      <c r="C13" s="10"/>
      <c r="D13" s="10"/>
      <c r="E13" s="10"/>
      <c r="F13" s="10"/>
      <c r="G13" s="10"/>
      <c r="H13" s="10"/>
      <c r="I13" s="10"/>
    </row>
    <row r="14" spans="1:9" x14ac:dyDescent="0.2">
      <c r="A14" s="131" t="s">
        <v>2299</v>
      </c>
      <c r="B14" s="126" t="s">
        <v>1883</v>
      </c>
      <c r="C14" s="17">
        <v>0</v>
      </c>
      <c r="D14" s="17">
        <v>3.53</v>
      </c>
      <c r="E14" s="12">
        <v>0</v>
      </c>
      <c r="F14" s="17">
        <v>0</v>
      </c>
      <c r="G14" s="17">
        <v>0</v>
      </c>
      <c r="H14" s="17">
        <v>0</v>
      </c>
      <c r="I14" s="17">
        <v>0</v>
      </c>
    </row>
    <row r="15" spans="1:9" x14ac:dyDescent="0.2">
      <c r="A15" s="22"/>
      <c r="B15" s="6" t="s">
        <v>1118</v>
      </c>
      <c r="C15" s="127">
        <f t="shared" ref="C15:F15" si="2">+C14</f>
        <v>0</v>
      </c>
      <c r="D15" s="127">
        <f t="shared" si="2"/>
        <v>3.53</v>
      </c>
      <c r="E15" s="127">
        <f t="shared" si="2"/>
        <v>0</v>
      </c>
      <c r="F15" s="127">
        <f t="shared" si="2"/>
        <v>0</v>
      </c>
      <c r="G15" s="127">
        <f t="shared" ref="G15" si="3">+G14</f>
        <v>0</v>
      </c>
      <c r="H15" s="127">
        <f t="shared" ref="H15:I15" si="4">+H14</f>
        <v>0</v>
      </c>
      <c r="I15" s="127">
        <f t="shared" si="4"/>
        <v>0</v>
      </c>
    </row>
    <row r="16" spans="1:9" x14ac:dyDescent="0.2">
      <c r="A16" s="128">
        <v>720.53200000000004</v>
      </c>
      <c r="B16" s="6"/>
      <c r="C16" s="10"/>
      <c r="D16" s="10"/>
      <c r="E16" s="10"/>
      <c r="F16" s="10"/>
      <c r="G16" s="10"/>
      <c r="H16" s="10"/>
      <c r="I16" s="10"/>
    </row>
    <row r="17" spans="1:9" x14ac:dyDescent="0.2">
      <c r="A17" t="s">
        <v>1550</v>
      </c>
      <c r="B17" s="125" t="s">
        <v>2274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</row>
    <row r="18" spans="1:9" x14ac:dyDescent="0.2">
      <c r="A18" t="s">
        <v>1551</v>
      </c>
      <c r="B18" s="125" t="s">
        <v>2275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x14ac:dyDescent="0.2">
      <c r="A19" s="22"/>
      <c r="B19" s="6" t="s">
        <v>1118</v>
      </c>
      <c r="C19" s="127">
        <f t="shared" ref="C19:F19" si="5">+C18+C17</f>
        <v>0</v>
      </c>
      <c r="D19" s="127">
        <f t="shared" si="5"/>
        <v>0</v>
      </c>
      <c r="E19" s="127">
        <f t="shared" si="5"/>
        <v>0</v>
      </c>
      <c r="F19" s="127">
        <f t="shared" si="5"/>
        <v>0</v>
      </c>
      <c r="G19" s="127">
        <f t="shared" ref="G19" si="6">+G18+G17</f>
        <v>0</v>
      </c>
      <c r="H19" s="127">
        <f t="shared" ref="H19:I19" si="7">+H18+H17</f>
        <v>0</v>
      </c>
      <c r="I19" s="127">
        <f t="shared" si="7"/>
        <v>0</v>
      </c>
    </row>
    <row r="20" spans="1:9" x14ac:dyDescent="0.2">
      <c r="A20" s="22"/>
      <c r="B20" s="6"/>
      <c r="C20" s="12"/>
      <c r="D20" s="12"/>
      <c r="E20" s="12"/>
      <c r="F20" s="12"/>
      <c r="G20" s="12"/>
      <c r="H20" s="12"/>
      <c r="I20" s="12"/>
    </row>
    <row r="21" spans="1:9" ht="13.5" thickBot="1" x14ac:dyDescent="0.25">
      <c r="B21" s="6" t="s">
        <v>1341</v>
      </c>
      <c r="C21" s="135">
        <f t="shared" ref="C21:F21" si="8">+C19+C15</f>
        <v>0</v>
      </c>
      <c r="D21" s="135">
        <f t="shared" si="8"/>
        <v>3.53</v>
      </c>
      <c r="E21" s="135">
        <f t="shared" si="8"/>
        <v>0</v>
      </c>
      <c r="F21" s="135">
        <f t="shared" si="8"/>
        <v>0</v>
      </c>
      <c r="G21" s="135">
        <f t="shared" ref="G21" si="9">+G19+G15</f>
        <v>0</v>
      </c>
      <c r="H21" s="135">
        <f t="shared" ref="H21:I21" si="10">+H19+H15</f>
        <v>0</v>
      </c>
      <c r="I21" s="135">
        <f t="shared" si="10"/>
        <v>0</v>
      </c>
    </row>
    <row r="22" spans="1:9" ht="13.5" thickTop="1" x14ac:dyDescent="0.2">
      <c r="B22" s="6"/>
      <c r="C22" s="10"/>
      <c r="D22" s="10"/>
      <c r="E22" s="10"/>
      <c r="F22" s="10"/>
      <c r="G22" s="10"/>
      <c r="H22" s="10"/>
      <c r="I22" s="10"/>
    </row>
    <row r="23" spans="1:9" x14ac:dyDescent="0.2">
      <c r="B23" s="4" t="s">
        <v>653</v>
      </c>
      <c r="C23" s="10"/>
      <c r="D23" s="10"/>
      <c r="E23" s="10"/>
      <c r="F23" s="10"/>
      <c r="G23" s="10"/>
      <c r="H23" s="10"/>
      <c r="I23" s="10"/>
    </row>
    <row r="24" spans="1:9" x14ac:dyDescent="0.2">
      <c r="B24" s="4" t="s">
        <v>1549</v>
      </c>
      <c r="C24" s="10"/>
      <c r="D24" s="10"/>
      <c r="E24" s="10"/>
      <c r="F24" s="10"/>
      <c r="G24" s="10"/>
      <c r="H24" s="10"/>
      <c r="I24" s="10"/>
    </row>
    <row r="25" spans="1:9" x14ac:dyDescent="0.2">
      <c r="B25" s="4" t="s">
        <v>1343</v>
      </c>
      <c r="C25" s="10"/>
      <c r="D25" s="10"/>
      <c r="E25" s="10"/>
      <c r="F25" s="10"/>
      <c r="G25" s="10"/>
      <c r="H25" s="10"/>
      <c r="I25" s="10"/>
    </row>
    <row r="26" spans="1:9" x14ac:dyDescent="0.2">
      <c r="C26" s="129" t="str">
        <f t="shared" ref="C26:G26" si="11">+C4</f>
        <v>2018 ACTUAL</v>
      </c>
      <c r="D26" s="129" t="str">
        <f t="shared" si="11"/>
        <v>2019 ACTUAL</v>
      </c>
      <c r="E26" s="129" t="str">
        <f t="shared" si="11"/>
        <v>2020 ACTUAL</v>
      </c>
      <c r="F26" s="129" t="str">
        <f t="shared" si="11"/>
        <v>2021 ACTUAL</v>
      </c>
      <c r="G26" s="129" t="str">
        <f t="shared" si="11"/>
        <v>2022 ACTUAL</v>
      </c>
      <c r="H26" s="129" t="str">
        <f t="shared" ref="H26:I26" si="12">+H4</f>
        <v xml:space="preserve">2023 BUDGET </v>
      </c>
      <c r="I26" s="129" t="str">
        <f t="shared" si="12"/>
        <v xml:space="preserve">2024 BUDGET </v>
      </c>
    </row>
    <row r="27" spans="1:9" x14ac:dyDescent="0.2">
      <c r="C27" s="112"/>
      <c r="D27" s="112"/>
      <c r="E27" s="112"/>
      <c r="F27" s="112"/>
      <c r="G27" s="112"/>
      <c r="H27" s="112"/>
      <c r="I27" s="112"/>
    </row>
    <row r="28" spans="1:9" x14ac:dyDescent="0.2">
      <c r="B28" t="s">
        <v>1344</v>
      </c>
      <c r="C28" s="10">
        <v>1</v>
      </c>
      <c r="D28" s="10">
        <f t="shared" ref="D28:I28" si="13">C36</f>
        <v>2.12</v>
      </c>
      <c r="E28" s="10">
        <f t="shared" si="13"/>
        <v>9.0000000000000302E-2</v>
      </c>
      <c r="F28" s="10">
        <f t="shared" si="13"/>
        <v>9.0000000000000302E-2</v>
      </c>
      <c r="G28" s="10">
        <f t="shared" si="13"/>
        <v>9.0000000000000302E-2</v>
      </c>
      <c r="H28" s="10">
        <f t="shared" si="13"/>
        <v>9.0000000000000302E-2</v>
      </c>
      <c r="I28" s="10">
        <f t="shared" si="13"/>
        <v>9.0000000000000302E-2</v>
      </c>
    </row>
    <row r="29" spans="1:9" x14ac:dyDescent="0.2">
      <c r="C29" s="10"/>
      <c r="D29" s="10"/>
      <c r="E29" s="10"/>
      <c r="F29" s="10"/>
      <c r="G29" s="10"/>
      <c r="H29" s="10"/>
      <c r="I29" s="10"/>
    </row>
    <row r="30" spans="1:9" x14ac:dyDescent="0.2">
      <c r="B30" t="s">
        <v>113</v>
      </c>
      <c r="C30" s="10">
        <f t="shared" ref="C30:H30" si="14">C10</f>
        <v>1.1200000000000001</v>
      </c>
      <c r="D30" s="10">
        <f t="shared" si="14"/>
        <v>1.5</v>
      </c>
      <c r="E30" s="10">
        <f t="shared" si="14"/>
        <v>0</v>
      </c>
      <c r="F30" s="10">
        <f t="shared" si="14"/>
        <v>0</v>
      </c>
      <c r="G30" s="10">
        <f t="shared" si="14"/>
        <v>0</v>
      </c>
      <c r="H30" s="10">
        <f t="shared" si="14"/>
        <v>0</v>
      </c>
      <c r="I30" s="10">
        <f t="shared" ref="I30" si="15">I10</f>
        <v>0</v>
      </c>
    </row>
    <row r="31" spans="1:9" x14ac:dyDescent="0.2">
      <c r="A31" t="s">
        <v>1433</v>
      </c>
      <c r="C31" s="10"/>
      <c r="D31" s="10"/>
      <c r="E31" s="10"/>
      <c r="F31" s="10"/>
      <c r="G31" s="10"/>
      <c r="H31" s="10"/>
      <c r="I31" s="10"/>
    </row>
    <row r="32" spans="1:9" x14ac:dyDescent="0.2">
      <c r="B32" t="s">
        <v>1427</v>
      </c>
      <c r="C32" s="10">
        <f t="shared" ref="C32:H32" si="16">C21</f>
        <v>0</v>
      </c>
      <c r="D32" s="10">
        <f t="shared" si="16"/>
        <v>3.53</v>
      </c>
      <c r="E32" s="10">
        <f t="shared" si="16"/>
        <v>0</v>
      </c>
      <c r="F32" s="10">
        <f t="shared" si="16"/>
        <v>0</v>
      </c>
      <c r="G32" s="10">
        <f t="shared" si="16"/>
        <v>0</v>
      </c>
      <c r="H32" s="10">
        <f t="shared" si="16"/>
        <v>0</v>
      </c>
      <c r="I32" s="10">
        <f t="shared" ref="I32" si="17">I21</f>
        <v>0</v>
      </c>
    </row>
    <row r="33" spans="1:9" x14ac:dyDescent="0.2">
      <c r="A33" t="s">
        <v>1433</v>
      </c>
      <c r="C33" s="10"/>
      <c r="D33" s="10"/>
      <c r="E33" s="10"/>
      <c r="F33" s="10"/>
      <c r="G33" s="10"/>
      <c r="H33" s="10"/>
      <c r="I33" s="10"/>
    </row>
    <row r="34" spans="1:9" x14ac:dyDescent="0.2">
      <c r="B34" t="s">
        <v>163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</row>
    <row r="35" spans="1:9" x14ac:dyDescent="0.2">
      <c r="C35" s="12"/>
      <c r="D35" s="12"/>
      <c r="E35" s="12"/>
      <c r="F35" s="12"/>
      <c r="G35" s="12"/>
      <c r="H35" s="12"/>
      <c r="I35" s="12"/>
    </row>
    <row r="36" spans="1:9" ht="13.5" thickBot="1" x14ac:dyDescent="0.25">
      <c r="B36" t="s">
        <v>1348</v>
      </c>
      <c r="C36" s="36">
        <f t="shared" ref="C36:G36" si="18">C28+C30-C32+C34</f>
        <v>2.12</v>
      </c>
      <c r="D36" s="36">
        <f t="shared" si="18"/>
        <v>9.0000000000000302E-2</v>
      </c>
      <c r="E36" s="36">
        <f t="shared" si="18"/>
        <v>9.0000000000000302E-2</v>
      </c>
      <c r="F36" s="36">
        <f t="shared" si="18"/>
        <v>9.0000000000000302E-2</v>
      </c>
      <c r="G36" s="36">
        <f t="shared" si="18"/>
        <v>9.0000000000000302E-2</v>
      </c>
      <c r="H36" s="36">
        <f t="shared" ref="H36:I36" si="19">H28+H30-H32+H34</f>
        <v>9.0000000000000302E-2</v>
      </c>
      <c r="I36" s="36">
        <f t="shared" si="19"/>
        <v>9.0000000000000302E-2</v>
      </c>
    </row>
    <row r="37" spans="1:9" ht="13.5" thickTop="1" x14ac:dyDescent="0.2"/>
    <row r="134" spans="3:9" x14ac:dyDescent="0.2">
      <c r="C134" s="9"/>
      <c r="D134" s="9"/>
      <c r="E134" s="9"/>
      <c r="F134" s="9"/>
      <c r="G134" s="9"/>
      <c r="H134" s="9"/>
      <c r="I134" s="9"/>
    </row>
  </sheetData>
  <phoneticPr fontId="2" type="noConversion"/>
  <pageMargins left="0.5" right="0.5" top="1" bottom="1" header="0.5" footer="0.5"/>
  <pageSetup scale="76" firstPageNumber="61" fitToHeight="0" orientation="portrait" useFirstPageNumber="1" r:id="rId1"/>
  <headerFooter alignWithMargins="0">
    <oddFooter>&amp;C&amp;P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I32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3.285156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t="s">
        <v>1433</v>
      </c>
      <c r="B1" s="4" t="s">
        <v>653</v>
      </c>
      <c r="C1" s="1" t="s">
        <v>1433</v>
      </c>
      <c r="D1" s="1" t="s">
        <v>1433</v>
      </c>
      <c r="E1" s="1" t="s">
        <v>1433</v>
      </c>
      <c r="F1" s="1" t="s">
        <v>1433</v>
      </c>
      <c r="G1" s="1" t="s">
        <v>1433</v>
      </c>
    </row>
    <row r="2" spans="1:9" x14ac:dyDescent="0.2">
      <c r="B2" s="4" t="s">
        <v>16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3" spans="1:9" x14ac:dyDescent="0.2"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9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202" t="s">
        <v>2506</v>
      </c>
      <c r="B5" s="4" t="s">
        <v>313</v>
      </c>
      <c r="C5" s="29"/>
      <c r="D5" s="29"/>
      <c r="E5" s="29"/>
      <c r="F5" s="29"/>
      <c r="G5" s="29"/>
      <c r="H5" s="29"/>
      <c r="I5" s="29"/>
    </row>
    <row r="6" spans="1:9" x14ac:dyDescent="0.2">
      <c r="A6" t="s">
        <v>1240</v>
      </c>
      <c r="B6" s="126" t="s">
        <v>1827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x14ac:dyDescent="0.2">
      <c r="A7" t="s">
        <v>1241</v>
      </c>
      <c r="B7" s="126" t="s">
        <v>1828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x14ac:dyDescent="0.2">
      <c r="A8" t="s">
        <v>1242</v>
      </c>
      <c r="B8" s="125" t="s">
        <v>2276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x14ac:dyDescent="0.2">
      <c r="A9" t="s">
        <v>1243</v>
      </c>
      <c r="B9" s="125" t="s">
        <v>1881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</row>
    <row r="10" spans="1:9" x14ac:dyDescent="0.2">
      <c r="A10" t="s">
        <v>1244</v>
      </c>
      <c r="B10" s="125" t="s">
        <v>1761</v>
      </c>
      <c r="C10" s="17">
        <v>20.49</v>
      </c>
      <c r="D10" s="17">
        <v>12.42</v>
      </c>
      <c r="E10" s="17">
        <v>11.61</v>
      </c>
      <c r="F10" s="17">
        <v>16.190000000000001</v>
      </c>
      <c r="G10" s="17">
        <v>15.66</v>
      </c>
      <c r="H10" s="17">
        <v>0</v>
      </c>
      <c r="I10" s="17">
        <v>0</v>
      </c>
    </row>
    <row r="11" spans="1:9" ht="13.5" thickBot="1" x14ac:dyDescent="0.25">
      <c r="A11" t="s">
        <v>1433</v>
      </c>
      <c r="B11" s="6" t="s">
        <v>137</v>
      </c>
      <c r="C11" s="135">
        <f t="shared" ref="C11:G11" si="0">SUM(C6:C10)</f>
        <v>20.49</v>
      </c>
      <c r="D11" s="135">
        <f t="shared" si="0"/>
        <v>12.42</v>
      </c>
      <c r="E11" s="135">
        <f t="shared" si="0"/>
        <v>11.61</v>
      </c>
      <c r="F11" s="135">
        <f t="shared" si="0"/>
        <v>16.190000000000001</v>
      </c>
      <c r="G11" s="135">
        <f t="shared" si="0"/>
        <v>15.66</v>
      </c>
      <c r="H11" s="135">
        <f t="shared" ref="H11:I11" si="1">SUM(H6:H10)</f>
        <v>0</v>
      </c>
      <c r="I11" s="135">
        <f t="shared" si="1"/>
        <v>0</v>
      </c>
    </row>
    <row r="12" spans="1:9" ht="13.5" thickTop="1" x14ac:dyDescent="0.2">
      <c r="A12" t="s">
        <v>1433</v>
      </c>
      <c r="C12" s="10"/>
      <c r="D12" s="10"/>
      <c r="E12" s="10"/>
      <c r="F12" s="10"/>
      <c r="G12" s="10"/>
      <c r="H12" s="10"/>
      <c r="I12" s="10"/>
    </row>
    <row r="13" spans="1:9" x14ac:dyDescent="0.2">
      <c r="A13" s="203">
        <v>730.69500000000005</v>
      </c>
      <c r="B13" s="4" t="s">
        <v>861</v>
      </c>
      <c r="C13" s="10"/>
      <c r="D13" s="10"/>
      <c r="E13" s="10"/>
      <c r="F13" s="10"/>
      <c r="G13" s="10"/>
      <c r="H13" s="10"/>
      <c r="I13" s="10"/>
    </row>
    <row r="14" spans="1:9" x14ac:dyDescent="0.2">
      <c r="A14" t="s">
        <v>17</v>
      </c>
      <c r="B14" s="125" t="s">
        <v>2277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/>
      <c r="I14" s="10"/>
    </row>
    <row r="15" spans="1:9" x14ac:dyDescent="0.2">
      <c r="A15" t="s">
        <v>18</v>
      </c>
      <c r="B15" s="125" t="s">
        <v>2278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3.5" thickBot="1" x14ac:dyDescent="0.25">
      <c r="B16" s="6" t="s">
        <v>1341</v>
      </c>
      <c r="C16" s="135">
        <f t="shared" ref="C16:G16" si="2">SUM(C14:C15)</f>
        <v>0</v>
      </c>
      <c r="D16" s="135">
        <f t="shared" si="2"/>
        <v>0</v>
      </c>
      <c r="E16" s="135">
        <f t="shared" si="2"/>
        <v>0</v>
      </c>
      <c r="F16" s="135">
        <f t="shared" si="2"/>
        <v>0</v>
      </c>
      <c r="G16" s="135">
        <f t="shared" si="2"/>
        <v>0</v>
      </c>
      <c r="H16" s="135">
        <f t="shared" ref="H16:I16" si="3">SUM(H14:H15)</f>
        <v>0</v>
      </c>
      <c r="I16" s="135">
        <f t="shared" si="3"/>
        <v>0</v>
      </c>
    </row>
    <row r="17" spans="1:9" ht="13.5" thickTop="1" x14ac:dyDescent="0.2">
      <c r="B17" s="6"/>
      <c r="C17" s="10"/>
      <c r="D17" s="10"/>
      <c r="E17" s="10"/>
      <c r="F17" s="10"/>
      <c r="G17" s="10"/>
      <c r="H17" s="10"/>
      <c r="I17" s="10"/>
    </row>
    <row r="18" spans="1:9" x14ac:dyDescent="0.2">
      <c r="B18" s="4" t="s">
        <v>653</v>
      </c>
      <c r="C18" s="10"/>
      <c r="D18" s="10"/>
      <c r="E18" s="10"/>
      <c r="F18" s="10"/>
      <c r="G18" s="10"/>
      <c r="H18" s="10"/>
      <c r="I18" s="10"/>
    </row>
    <row r="19" spans="1:9" x14ac:dyDescent="0.2">
      <c r="B19" s="4" t="s">
        <v>16</v>
      </c>
      <c r="C19" s="10"/>
      <c r="D19" s="10"/>
      <c r="E19" s="10"/>
      <c r="F19" s="10"/>
      <c r="G19" s="10"/>
      <c r="H19" s="10"/>
      <c r="I19" s="10"/>
    </row>
    <row r="20" spans="1:9" x14ac:dyDescent="0.2">
      <c r="B20" s="4" t="s">
        <v>1343</v>
      </c>
      <c r="C20" s="10"/>
      <c r="D20" s="10"/>
      <c r="E20" s="10"/>
      <c r="F20" s="10"/>
      <c r="G20" s="10"/>
      <c r="H20" s="10"/>
      <c r="I20" s="10"/>
    </row>
    <row r="21" spans="1:9" x14ac:dyDescent="0.2">
      <c r="C21" s="129" t="str">
        <f t="shared" ref="C21:G21" si="4">+C4</f>
        <v>2018 ACTUAL</v>
      </c>
      <c r="D21" s="129" t="str">
        <f t="shared" si="4"/>
        <v>2019 ACTUAL</v>
      </c>
      <c r="E21" s="129" t="str">
        <f t="shared" si="4"/>
        <v>2020 ACTUAL</v>
      </c>
      <c r="F21" s="129" t="str">
        <f t="shared" si="4"/>
        <v>2021 ACTUAL</v>
      </c>
      <c r="G21" s="129" t="str">
        <f t="shared" si="4"/>
        <v>2022 ACTUAL</v>
      </c>
      <c r="H21" s="129" t="str">
        <f t="shared" ref="H21:I21" si="5">+H4</f>
        <v xml:space="preserve">2023 BUDGET </v>
      </c>
      <c r="I21" s="129" t="str">
        <f t="shared" si="5"/>
        <v xml:space="preserve">2024 BUDGET </v>
      </c>
    </row>
    <row r="22" spans="1:9" x14ac:dyDescent="0.2">
      <c r="C22" s="112"/>
      <c r="D22" s="112"/>
      <c r="E22" s="112"/>
      <c r="F22" s="112"/>
      <c r="G22" s="112"/>
      <c r="H22" s="112"/>
      <c r="I22" s="112"/>
    </row>
    <row r="23" spans="1:9" x14ac:dyDescent="0.2">
      <c r="A23" t="s">
        <v>1433</v>
      </c>
      <c r="B23" t="s">
        <v>1344</v>
      </c>
      <c r="C23" s="10">
        <v>5483.95</v>
      </c>
      <c r="D23" s="10">
        <f t="shared" ref="D23:I23" si="6">C31</f>
        <v>5504.44</v>
      </c>
      <c r="E23" s="10">
        <f t="shared" si="6"/>
        <v>5516.86</v>
      </c>
      <c r="F23" s="10">
        <f t="shared" si="6"/>
        <v>5528.4699999999993</v>
      </c>
      <c r="G23" s="10">
        <f t="shared" si="6"/>
        <v>5544.6599999999989</v>
      </c>
      <c r="H23" s="10">
        <f t="shared" si="6"/>
        <v>5560.3199999999988</v>
      </c>
      <c r="I23" s="10">
        <f t="shared" si="6"/>
        <v>5560.3199999999988</v>
      </c>
    </row>
    <row r="24" spans="1:9" x14ac:dyDescent="0.2">
      <c r="C24" s="10"/>
      <c r="D24" s="10"/>
      <c r="E24" s="10"/>
      <c r="F24" s="10"/>
      <c r="G24" s="10"/>
      <c r="H24" s="10"/>
      <c r="I24" s="10"/>
    </row>
    <row r="25" spans="1:9" x14ac:dyDescent="0.2">
      <c r="A25" t="s">
        <v>1433</v>
      </c>
      <c r="B25" t="s">
        <v>113</v>
      </c>
      <c r="C25" s="10">
        <f t="shared" ref="C25:G25" si="7">C11</f>
        <v>20.49</v>
      </c>
      <c r="D25" s="10">
        <f t="shared" si="7"/>
        <v>12.42</v>
      </c>
      <c r="E25" s="10">
        <f t="shared" si="7"/>
        <v>11.61</v>
      </c>
      <c r="F25" s="10">
        <f t="shared" si="7"/>
        <v>16.190000000000001</v>
      </c>
      <c r="G25" s="10">
        <f t="shared" si="7"/>
        <v>15.66</v>
      </c>
      <c r="H25" s="10">
        <f t="shared" ref="H25:I25" si="8">H11</f>
        <v>0</v>
      </c>
      <c r="I25" s="10">
        <f t="shared" si="8"/>
        <v>0</v>
      </c>
    </row>
    <row r="26" spans="1:9" x14ac:dyDescent="0.2">
      <c r="C26" s="10"/>
      <c r="D26" s="10"/>
      <c r="E26" s="10"/>
      <c r="F26" s="10"/>
      <c r="G26" s="10"/>
      <c r="H26" s="10"/>
      <c r="I26" s="10"/>
    </row>
    <row r="27" spans="1:9" x14ac:dyDescent="0.2">
      <c r="B27" t="s">
        <v>1427</v>
      </c>
      <c r="C27" s="10">
        <f t="shared" ref="C27:G27" si="9">C16</f>
        <v>0</v>
      </c>
      <c r="D27" s="10">
        <f t="shared" si="9"/>
        <v>0</v>
      </c>
      <c r="E27" s="10">
        <f t="shared" si="9"/>
        <v>0</v>
      </c>
      <c r="F27" s="10">
        <f t="shared" si="9"/>
        <v>0</v>
      </c>
      <c r="G27" s="10">
        <f t="shared" si="9"/>
        <v>0</v>
      </c>
      <c r="H27" s="10">
        <f t="shared" ref="H27:I27" si="10">H16</f>
        <v>0</v>
      </c>
      <c r="I27" s="10">
        <f t="shared" si="10"/>
        <v>0</v>
      </c>
    </row>
    <row r="28" spans="1:9" x14ac:dyDescent="0.2">
      <c r="C28" s="10"/>
      <c r="D28" s="10"/>
      <c r="E28" s="10"/>
      <c r="F28" s="10"/>
      <c r="G28" s="10"/>
      <c r="H28" s="10"/>
      <c r="I28" s="10"/>
    </row>
    <row r="29" spans="1:9" x14ac:dyDescent="0.2">
      <c r="B29" t="s">
        <v>1140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x14ac:dyDescent="0.2">
      <c r="C30" s="10"/>
      <c r="D30" s="10"/>
      <c r="E30" s="10"/>
      <c r="F30" s="10"/>
      <c r="G30" s="10"/>
      <c r="H30" s="10"/>
      <c r="I30" s="10"/>
    </row>
    <row r="31" spans="1:9" ht="13.5" thickBot="1" x14ac:dyDescent="0.25">
      <c r="B31" t="s">
        <v>1348</v>
      </c>
      <c r="C31" s="36">
        <f t="shared" ref="C31:G31" si="11">SUM(C23+C25-C27+C29)</f>
        <v>5504.44</v>
      </c>
      <c r="D31" s="36">
        <f t="shared" si="11"/>
        <v>5516.86</v>
      </c>
      <c r="E31" s="36">
        <f t="shared" si="11"/>
        <v>5528.4699999999993</v>
      </c>
      <c r="F31" s="36">
        <f t="shared" si="11"/>
        <v>5544.6599999999989</v>
      </c>
      <c r="G31" s="36">
        <f t="shared" si="11"/>
        <v>5560.3199999999988</v>
      </c>
      <c r="H31" s="36">
        <f t="shared" ref="H31:I31" si="12">SUM(H23+H25-H27+H29)</f>
        <v>5560.3199999999988</v>
      </c>
      <c r="I31" s="36">
        <f t="shared" si="12"/>
        <v>5560.3199999999988</v>
      </c>
    </row>
    <row r="32" spans="1:9" ht="13.5" thickTop="1" x14ac:dyDescent="0.2"/>
  </sheetData>
  <phoneticPr fontId="2" type="noConversion"/>
  <pageMargins left="0.5" right="0.5" top="1" bottom="1" header="0.5" footer="0.5"/>
  <pageSetup scale="82" firstPageNumber="59" fitToHeight="0" orientation="portrait" useFirstPageNumber="1" r:id="rId1"/>
  <headerFooter alignWithMargins="0">
    <oddFooter>&amp;C&amp;P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J151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3.285156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10" x14ac:dyDescent="0.2">
      <c r="A1" s="16" t="s">
        <v>1433</v>
      </c>
      <c r="B1" s="4" t="s">
        <v>653</v>
      </c>
      <c r="C1" s="1" t="s">
        <v>1433</v>
      </c>
      <c r="D1" s="1" t="s">
        <v>1433</v>
      </c>
      <c r="E1" s="1" t="s">
        <v>1433</v>
      </c>
      <c r="F1" s="1" t="s">
        <v>1433</v>
      </c>
      <c r="G1" s="1" t="s">
        <v>1433</v>
      </c>
    </row>
    <row r="2" spans="1:10" x14ac:dyDescent="0.2">
      <c r="A2" s="16"/>
      <c r="B2" s="4" t="s">
        <v>426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3" spans="1:10" x14ac:dyDescent="0.2">
      <c r="A3" s="16"/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10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10" x14ac:dyDescent="0.2">
      <c r="A5" s="198" t="s">
        <v>2507</v>
      </c>
      <c r="B5" s="4" t="s">
        <v>313</v>
      </c>
    </row>
    <row r="6" spans="1:10" x14ac:dyDescent="0.2">
      <c r="A6" s="16" t="s">
        <v>1216</v>
      </c>
      <c r="B6" s="126" t="s">
        <v>2279</v>
      </c>
      <c r="C6" s="10">
        <v>26420.97</v>
      </c>
      <c r="D6" s="10">
        <v>45685.29</v>
      </c>
      <c r="E6" s="10">
        <v>20762.060000000001</v>
      </c>
      <c r="F6" s="10">
        <v>35772.36</v>
      </c>
      <c r="G6" s="10">
        <v>37539.800000000003</v>
      </c>
      <c r="H6" s="10">
        <v>34000</v>
      </c>
      <c r="I6" s="10">
        <v>35000</v>
      </c>
    </row>
    <row r="7" spans="1:10" x14ac:dyDescent="0.2">
      <c r="A7" s="16" t="s">
        <v>1217</v>
      </c>
      <c r="B7" s="125" t="s">
        <v>1761</v>
      </c>
      <c r="C7" s="19">
        <v>6749.05</v>
      </c>
      <c r="D7" s="19">
        <v>6656.81</v>
      </c>
      <c r="E7" s="19">
        <v>3766.08</v>
      </c>
      <c r="F7" s="19">
        <v>1063.74</v>
      </c>
      <c r="G7" s="19">
        <v>1582.25</v>
      </c>
      <c r="H7" s="10">
        <v>2500</v>
      </c>
      <c r="I7" s="10">
        <v>3000</v>
      </c>
    </row>
    <row r="8" spans="1:10" ht="13.5" thickBot="1" x14ac:dyDescent="0.25">
      <c r="A8" s="16"/>
      <c r="B8" s="6" t="s">
        <v>137</v>
      </c>
      <c r="C8" s="135">
        <f t="shared" ref="C8:G8" si="0">SUM(C6:C7)</f>
        <v>33170.020000000004</v>
      </c>
      <c r="D8" s="135">
        <f t="shared" si="0"/>
        <v>52342.1</v>
      </c>
      <c r="E8" s="135">
        <f t="shared" si="0"/>
        <v>24528.14</v>
      </c>
      <c r="F8" s="135">
        <f t="shared" si="0"/>
        <v>36836.1</v>
      </c>
      <c r="G8" s="135">
        <f t="shared" si="0"/>
        <v>39122.050000000003</v>
      </c>
      <c r="H8" s="135">
        <f t="shared" ref="H8:I8" si="1">SUM(H6:H7)</f>
        <v>36500</v>
      </c>
      <c r="I8" s="135">
        <f t="shared" si="1"/>
        <v>38000</v>
      </c>
    </row>
    <row r="9" spans="1:10" ht="13.5" thickTop="1" x14ac:dyDescent="0.2">
      <c r="A9" s="16" t="s">
        <v>1433</v>
      </c>
      <c r="C9" s="10"/>
      <c r="D9" s="10"/>
      <c r="E9" s="10"/>
      <c r="F9" s="10"/>
      <c r="G9" s="10"/>
      <c r="H9" s="10"/>
      <c r="I9" s="10"/>
    </row>
    <row r="10" spans="1:10" x14ac:dyDescent="0.2">
      <c r="A10" s="198" t="s">
        <v>2507</v>
      </c>
      <c r="B10" s="133" t="s">
        <v>861</v>
      </c>
      <c r="C10" s="10"/>
      <c r="D10" s="10"/>
      <c r="E10" s="10"/>
      <c r="F10" s="10"/>
      <c r="G10" s="10"/>
      <c r="H10" s="10"/>
      <c r="I10" s="10"/>
    </row>
    <row r="11" spans="1:10" x14ac:dyDescent="0.2">
      <c r="A11" s="52" t="s">
        <v>1595</v>
      </c>
      <c r="B11" s="126" t="s">
        <v>2280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0">
        <v>0</v>
      </c>
      <c r="I11" s="10">
        <f t="shared" ref="H11:I32" si="2">+H11</f>
        <v>0</v>
      </c>
    </row>
    <row r="12" spans="1:10" x14ac:dyDescent="0.2">
      <c r="A12" s="52" t="s">
        <v>1596</v>
      </c>
      <c r="B12" s="126" t="s">
        <v>2281</v>
      </c>
      <c r="C12" s="17">
        <v>1000</v>
      </c>
      <c r="D12" s="17">
        <v>1000</v>
      </c>
      <c r="E12" s="17">
        <v>1000</v>
      </c>
      <c r="F12" s="17">
        <v>1000</v>
      </c>
      <c r="G12" s="17">
        <v>1000</v>
      </c>
      <c r="H12" s="10">
        <v>1000</v>
      </c>
      <c r="I12" s="10">
        <f t="shared" si="2"/>
        <v>1000</v>
      </c>
      <c r="J12" s="39"/>
    </row>
    <row r="13" spans="1:10" x14ac:dyDescent="0.2">
      <c r="A13" s="52" t="s">
        <v>1597</v>
      </c>
      <c r="B13" s="126" t="s">
        <v>2134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0">
        <v>0</v>
      </c>
      <c r="I13" s="10">
        <f t="shared" si="2"/>
        <v>0</v>
      </c>
    </row>
    <row r="14" spans="1:10" x14ac:dyDescent="0.2">
      <c r="A14" s="52" t="s">
        <v>1598</v>
      </c>
      <c r="B14" s="126" t="s">
        <v>2135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0">
        <v>0</v>
      </c>
      <c r="I14" s="10">
        <f t="shared" si="2"/>
        <v>0</v>
      </c>
    </row>
    <row r="15" spans="1:10" x14ac:dyDescent="0.2">
      <c r="A15" s="52" t="s">
        <v>1599</v>
      </c>
      <c r="B15" s="126" t="s">
        <v>1941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0">
        <v>0</v>
      </c>
      <c r="I15" s="10">
        <f t="shared" si="2"/>
        <v>0</v>
      </c>
    </row>
    <row r="16" spans="1:10" x14ac:dyDescent="0.2">
      <c r="A16" s="52" t="s">
        <v>1600</v>
      </c>
      <c r="B16" s="126" t="s">
        <v>2136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0">
        <v>0</v>
      </c>
      <c r="I16" s="10">
        <f t="shared" si="2"/>
        <v>0</v>
      </c>
    </row>
    <row r="17" spans="1:10" x14ac:dyDescent="0.2">
      <c r="A17" s="52" t="s">
        <v>1601</v>
      </c>
      <c r="B17" s="126" t="s">
        <v>2282</v>
      </c>
      <c r="C17" s="17">
        <v>3200</v>
      </c>
      <c r="D17" s="17">
        <v>3200</v>
      </c>
      <c r="E17" s="17">
        <v>3200</v>
      </c>
      <c r="F17" s="17">
        <v>3200</v>
      </c>
      <c r="G17" s="17">
        <v>4000</v>
      </c>
      <c r="H17" s="10">
        <v>4000</v>
      </c>
      <c r="I17" s="10">
        <v>5000</v>
      </c>
      <c r="J17" s="39"/>
    </row>
    <row r="18" spans="1:10" x14ac:dyDescent="0.2">
      <c r="A18" s="52" t="s">
        <v>1602</v>
      </c>
      <c r="B18" s="126" t="s">
        <v>2283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0">
        <v>0</v>
      </c>
      <c r="I18" s="10">
        <f t="shared" si="2"/>
        <v>0</v>
      </c>
    </row>
    <row r="19" spans="1:10" x14ac:dyDescent="0.2">
      <c r="A19" s="52" t="s">
        <v>1603</v>
      </c>
      <c r="B19" s="126" t="s">
        <v>2284</v>
      </c>
      <c r="C19" s="17">
        <v>8000</v>
      </c>
      <c r="D19" s="17">
        <v>8000</v>
      </c>
      <c r="E19" s="17">
        <v>8000</v>
      </c>
      <c r="F19" s="17">
        <v>8000</v>
      </c>
      <c r="G19" s="17">
        <v>4000</v>
      </c>
      <c r="H19" s="10">
        <v>4000</v>
      </c>
      <c r="I19" s="10">
        <v>6000</v>
      </c>
      <c r="J19" s="39"/>
    </row>
    <row r="20" spans="1:10" x14ac:dyDescent="0.2">
      <c r="A20" s="52" t="s">
        <v>1604</v>
      </c>
      <c r="B20" s="126" t="s">
        <v>2137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0">
        <v>0</v>
      </c>
      <c r="I20" s="10">
        <f t="shared" si="2"/>
        <v>0</v>
      </c>
    </row>
    <row r="21" spans="1:10" x14ac:dyDescent="0.2">
      <c r="A21" s="52" t="s">
        <v>1736</v>
      </c>
      <c r="B21" s="126" t="s">
        <v>1942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0">
        <v>0</v>
      </c>
      <c r="I21" s="10">
        <f t="shared" si="2"/>
        <v>0</v>
      </c>
    </row>
    <row r="22" spans="1:10" x14ac:dyDescent="0.2">
      <c r="A22" s="52" t="s">
        <v>1605</v>
      </c>
      <c r="B22" s="126" t="s">
        <v>1943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0">
        <v>0</v>
      </c>
      <c r="I22" s="10">
        <v>50000</v>
      </c>
    </row>
    <row r="23" spans="1:10" x14ac:dyDescent="0.2">
      <c r="A23" s="52" t="s">
        <v>1606</v>
      </c>
      <c r="B23" s="126" t="s">
        <v>1944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0">
        <v>0</v>
      </c>
      <c r="I23" s="10">
        <f t="shared" si="2"/>
        <v>0</v>
      </c>
    </row>
    <row r="24" spans="1:10" x14ac:dyDescent="0.2">
      <c r="A24" s="52" t="s">
        <v>1607</v>
      </c>
      <c r="B24" s="126" t="s">
        <v>1946</v>
      </c>
      <c r="C24" s="17">
        <v>8000</v>
      </c>
      <c r="D24" s="17">
        <v>8000</v>
      </c>
      <c r="E24" s="17">
        <v>8000</v>
      </c>
      <c r="F24" s="17">
        <v>8000</v>
      </c>
      <c r="G24" s="17">
        <v>8000</v>
      </c>
      <c r="H24" s="10">
        <v>8000</v>
      </c>
      <c r="I24" s="10">
        <f t="shared" si="2"/>
        <v>8000</v>
      </c>
      <c r="J24" s="39"/>
    </row>
    <row r="25" spans="1:10" x14ac:dyDescent="0.2">
      <c r="A25" s="35" t="s">
        <v>2385</v>
      </c>
      <c r="B25" s="126" t="s">
        <v>2386</v>
      </c>
      <c r="C25" s="17">
        <v>0</v>
      </c>
      <c r="D25" s="17">
        <v>0</v>
      </c>
      <c r="E25" s="17">
        <v>0</v>
      </c>
      <c r="F25" s="17">
        <v>0</v>
      </c>
      <c r="G25" s="17">
        <v>5000</v>
      </c>
      <c r="H25" s="10">
        <v>5000</v>
      </c>
      <c r="I25" s="10">
        <f t="shared" si="2"/>
        <v>5000</v>
      </c>
      <c r="J25" s="39"/>
    </row>
    <row r="26" spans="1:10" x14ac:dyDescent="0.2">
      <c r="A26" s="16" t="s">
        <v>477</v>
      </c>
      <c r="B26" s="126" t="s">
        <v>1582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f t="shared" si="2"/>
        <v>0</v>
      </c>
    </row>
    <row r="27" spans="1:10" x14ac:dyDescent="0.2">
      <c r="A27" s="35" t="s">
        <v>1753</v>
      </c>
      <c r="B27" s="126" t="s">
        <v>2285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f t="shared" si="2"/>
        <v>0</v>
      </c>
    </row>
    <row r="28" spans="1:10" x14ac:dyDescent="0.2">
      <c r="A28" s="35" t="s">
        <v>2517</v>
      </c>
      <c r="B28" s="126" t="s">
        <v>1900</v>
      </c>
      <c r="C28" s="10">
        <v>0</v>
      </c>
      <c r="D28" s="10">
        <v>0</v>
      </c>
      <c r="E28" s="10">
        <v>0</v>
      </c>
      <c r="F28" s="10">
        <v>0</v>
      </c>
      <c r="G28" s="10">
        <v>81585.86</v>
      </c>
      <c r="H28" s="10">
        <v>141015</v>
      </c>
      <c r="I28" s="10">
        <v>0</v>
      </c>
    </row>
    <row r="29" spans="1:10" x14ac:dyDescent="0.2">
      <c r="A29" s="35" t="s">
        <v>1789</v>
      </c>
      <c r="B29" s="126" t="s">
        <v>2286</v>
      </c>
      <c r="C29" s="10">
        <v>0</v>
      </c>
      <c r="D29" s="10">
        <v>104575.63</v>
      </c>
      <c r="E29" s="10">
        <v>0</v>
      </c>
      <c r="F29" s="10">
        <v>0</v>
      </c>
      <c r="G29" s="10">
        <v>0</v>
      </c>
      <c r="H29" s="10">
        <v>0</v>
      </c>
      <c r="I29" s="10">
        <f t="shared" si="2"/>
        <v>0</v>
      </c>
    </row>
    <row r="30" spans="1:10" x14ac:dyDescent="0.2">
      <c r="A30" s="35" t="s">
        <v>1790</v>
      </c>
      <c r="B30" s="126" t="s">
        <v>2287</v>
      </c>
      <c r="C30" s="10">
        <v>0</v>
      </c>
      <c r="D30" s="10">
        <v>2470</v>
      </c>
      <c r="E30" s="10">
        <v>0</v>
      </c>
      <c r="F30" s="10">
        <v>0</v>
      </c>
      <c r="G30" s="10">
        <v>0</v>
      </c>
      <c r="H30" s="10">
        <f t="shared" si="2"/>
        <v>0</v>
      </c>
      <c r="I30" s="10">
        <f t="shared" si="2"/>
        <v>0</v>
      </c>
    </row>
    <row r="31" spans="1:10" x14ac:dyDescent="0.2">
      <c r="A31" s="52" t="s">
        <v>411</v>
      </c>
      <c r="B31" s="126" t="s">
        <v>1878</v>
      </c>
      <c r="C31" s="10">
        <v>0</v>
      </c>
      <c r="D31" s="10">
        <v>0</v>
      </c>
      <c r="E31" s="10">
        <v>3725</v>
      </c>
      <c r="F31" s="10">
        <v>0</v>
      </c>
      <c r="G31" s="10">
        <v>0</v>
      </c>
      <c r="H31" s="10">
        <f t="shared" si="2"/>
        <v>0</v>
      </c>
      <c r="I31" s="10">
        <f t="shared" si="2"/>
        <v>0</v>
      </c>
    </row>
    <row r="32" spans="1:10" x14ac:dyDescent="0.2">
      <c r="A32" s="52" t="s">
        <v>1593</v>
      </c>
      <c r="B32" s="126" t="s">
        <v>2000</v>
      </c>
      <c r="C32" s="10">
        <v>27000</v>
      </c>
      <c r="D32" s="10">
        <v>0</v>
      </c>
      <c r="E32" s="10">
        <v>0</v>
      </c>
      <c r="F32" s="10">
        <v>0</v>
      </c>
      <c r="G32" s="10">
        <v>0</v>
      </c>
      <c r="H32" s="10">
        <f t="shared" si="2"/>
        <v>0</v>
      </c>
      <c r="I32" s="10">
        <f t="shared" si="2"/>
        <v>0</v>
      </c>
    </row>
    <row r="33" spans="1:9" ht="13.5" thickBot="1" x14ac:dyDescent="0.25">
      <c r="A33" s="16" t="s">
        <v>1433</v>
      </c>
      <c r="B33" s="6" t="s">
        <v>1341</v>
      </c>
      <c r="C33" s="135">
        <f t="shared" ref="C33:G33" si="3">SUM(C11:C32)</f>
        <v>47200</v>
      </c>
      <c r="D33" s="135">
        <f t="shared" si="3"/>
        <v>127245.63</v>
      </c>
      <c r="E33" s="135">
        <f t="shared" si="3"/>
        <v>23925</v>
      </c>
      <c r="F33" s="135">
        <f t="shared" si="3"/>
        <v>20200</v>
      </c>
      <c r="G33" s="135">
        <f t="shared" si="3"/>
        <v>103585.86</v>
      </c>
      <c r="H33" s="135">
        <f t="shared" ref="H33:I33" si="4">SUM(H11:H32)</f>
        <v>163015</v>
      </c>
      <c r="I33" s="135">
        <f t="shared" si="4"/>
        <v>75000</v>
      </c>
    </row>
    <row r="34" spans="1:9" ht="13.5" thickTop="1" x14ac:dyDescent="0.2">
      <c r="A34" s="16"/>
      <c r="B34" s="6"/>
      <c r="C34" s="10"/>
      <c r="D34" s="10"/>
      <c r="E34" s="10"/>
      <c r="F34" s="10"/>
      <c r="G34" s="10"/>
      <c r="H34" s="10"/>
      <c r="I34" s="10"/>
    </row>
    <row r="35" spans="1:9" x14ac:dyDescent="0.2">
      <c r="A35" s="16" t="s">
        <v>1433</v>
      </c>
      <c r="B35" s="4" t="s">
        <v>653</v>
      </c>
      <c r="C35" s="10"/>
      <c r="D35" s="10"/>
      <c r="E35" s="10"/>
      <c r="F35" s="10"/>
      <c r="G35" s="10"/>
      <c r="H35" s="10"/>
      <c r="I35" s="10"/>
    </row>
    <row r="36" spans="1:9" x14ac:dyDescent="0.2">
      <c r="A36" s="16"/>
      <c r="B36" s="4" t="s">
        <v>426</v>
      </c>
      <c r="C36" s="10"/>
      <c r="D36" s="10"/>
      <c r="E36" s="10"/>
      <c r="F36" s="10"/>
      <c r="G36" s="10"/>
      <c r="H36" s="10"/>
      <c r="I36" s="10"/>
    </row>
    <row r="37" spans="1:9" x14ac:dyDescent="0.2">
      <c r="A37" s="16"/>
      <c r="B37" s="4" t="s">
        <v>1343</v>
      </c>
      <c r="C37" s="10"/>
      <c r="D37" s="10"/>
      <c r="E37" s="10"/>
      <c r="F37" s="10"/>
      <c r="G37" s="10"/>
      <c r="H37" s="10"/>
      <c r="I37" s="10"/>
    </row>
    <row r="38" spans="1:9" x14ac:dyDescent="0.2">
      <c r="C38" s="129" t="str">
        <f t="shared" ref="C38:G38" si="5">+C4</f>
        <v>2018 ACTUAL</v>
      </c>
      <c r="D38" s="129" t="str">
        <f t="shared" si="5"/>
        <v>2019 ACTUAL</v>
      </c>
      <c r="E38" s="129" t="str">
        <f t="shared" si="5"/>
        <v>2020 ACTUAL</v>
      </c>
      <c r="F38" s="129" t="str">
        <f t="shared" si="5"/>
        <v>2021 ACTUAL</v>
      </c>
      <c r="G38" s="129" t="str">
        <f t="shared" si="5"/>
        <v>2022 ACTUAL</v>
      </c>
      <c r="H38" s="129" t="str">
        <f t="shared" ref="H38:I38" si="6">+H4</f>
        <v xml:space="preserve">2023 BUDGET </v>
      </c>
      <c r="I38" s="129" t="str">
        <f t="shared" si="6"/>
        <v xml:space="preserve">2024 BUDGET </v>
      </c>
    </row>
    <row r="39" spans="1:9" x14ac:dyDescent="0.2">
      <c r="C39" s="112"/>
      <c r="D39" s="112"/>
      <c r="E39" s="112"/>
      <c r="F39" s="112"/>
      <c r="G39" s="112"/>
      <c r="H39" s="112"/>
      <c r="I39" s="112"/>
    </row>
    <row r="40" spans="1:9" x14ac:dyDescent="0.2">
      <c r="B40" t="s">
        <v>1344</v>
      </c>
      <c r="C40" s="10">
        <v>385299.01</v>
      </c>
      <c r="D40" s="10">
        <f t="shared" ref="D40:I40" si="7">C48</f>
        <v>371269.03</v>
      </c>
      <c r="E40" s="10">
        <f t="shared" si="7"/>
        <v>296365.5</v>
      </c>
      <c r="F40" s="10">
        <f t="shared" si="7"/>
        <v>296968.64</v>
      </c>
      <c r="G40" s="10">
        <f t="shared" si="7"/>
        <v>313604.74</v>
      </c>
      <c r="H40" s="10">
        <f t="shared" si="7"/>
        <v>249140.93</v>
      </c>
      <c r="I40" s="10">
        <f t="shared" si="7"/>
        <v>122625.93</v>
      </c>
    </row>
    <row r="41" spans="1:9" x14ac:dyDescent="0.2">
      <c r="C41" s="10"/>
      <c r="D41" s="10"/>
      <c r="E41" s="10"/>
      <c r="F41" s="10"/>
      <c r="G41" s="10"/>
      <c r="H41" s="10"/>
      <c r="I41" s="10"/>
    </row>
    <row r="42" spans="1:9" x14ac:dyDescent="0.2">
      <c r="B42" t="s">
        <v>113</v>
      </c>
      <c r="C42" s="10">
        <f t="shared" ref="C42:G42" si="8">C8</f>
        <v>33170.020000000004</v>
      </c>
      <c r="D42" s="10">
        <f t="shared" si="8"/>
        <v>52342.1</v>
      </c>
      <c r="E42" s="10">
        <f t="shared" si="8"/>
        <v>24528.14</v>
      </c>
      <c r="F42" s="10">
        <f t="shared" si="8"/>
        <v>36836.1</v>
      </c>
      <c r="G42" s="10">
        <f t="shared" si="8"/>
        <v>39122.050000000003</v>
      </c>
      <c r="H42" s="10">
        <f t="shared" ref="H42:I42" si="9">H8</f>
        <v>36500</v>
      </c>
      <c r="I42" s="10">
        <f t="shared" si="9"/>
        <v>38000</v>
      </c>
    </row>
    <row r="43" spans="1:9" x14ac:dyDescent="0.2">
      <c r="C43" s="10"/>
      <c r="D43" s="10"/>
      <c r="E43" s="10"/>
      <c r="F43" s="10"/>
      <c r="G43" s="10"/>
      <c r="H43" s="10"/>
      <c r="I43" s="10"/>
    </row>
    <row r="44" spans="1:9" x14ac:dyDescent="0.2">
      <c r="B44" t="s">
        <v>1427</v>
      </c>
      <c r="C44" s="10">
        <f t="shared" ref="C44:G44" si="10">C33</f>
        <v>47200</v>
      </c>
      <c r="D44" s="10">
        <f t="shared" si="10"/>
        <v>127245.63</v>
      </c>
      <c r="E44" s="10">
        <f t="shared" si="10"/>
        <v>23925</v>
      </c>
      <c r="F44" s="10">
        <f t="shared" si="10"/>
        <v>20200</v>
      </c>
      <c r="G44" s="10">
        <f t="shared" si="10"/>
        <v>103585.86</v>
      </c>
      <c r="H44" s="10">
        <f t="shared" ref="H44:I44" si="11">H33</f>
        <v>163015</v>
      </c>
      <c r="I44" s="10">
        <f t="shared" si="11"/>
        <v>75000</v>
      </c>
    </row>
    <row r="45" spans="1:9" x14ac:dyDescent="0.2">
      <c r="C45" s="10"/>
      <c r="D45" s="10"/>
      <c r="E45" s="10"/>
      <c r="F45" s="10"/>
      <c r="G45" s="10"/>
      <c r="H45" s="10"/>
      <c r="I45" s="10"/>
    </row>
    <row r="46" spans="1:9" x14ac:dyDescent="0.2">
      <c r="B46" t="s">
        <v>1140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</row>
    <row r="47" spans="1:9" x14ac:dyDescent="0.2">
      <c r="C47" s="10"/>
      <c r="D47" s="10"/>
      <c r="E47" s="10"/>
      <c r="F47" s="10"/>
      <c r="G47" s="10"/>
      <c r="H47" s="10"/>
      <c r="I47" s="10"/>
    </row>
    <row r="48" spans="1:9" ht="13.5" thickBot="1" x14ac:dyDescent="0.25">
      <c r="A48" t="s">
        <v>1433</v>
      </c>
      <c r="B48" t="s">
        <v>1348</v>
      </c>
      <c r="C48" s="36">
        <f t="shared" ref="C48:G48" si="12">C40+C42-C44+C46</f>
        <v>371269.03</v>
      </c>
      <c r="D48" s="36">
        <f t="shared" si="12"/>
        <v>296365.5</v>
      </c>
      <c r="E48" s="36">
        <f t="shared" si="12"/>
        <v>296968.64</v>
      </c>
      <c r="F48" s="36">
        <f t="shared" si="12"/>
        <v>313604.74</v>
      </c>
      <c r="G48" s="36">
        <f t="shared" si="12"/>
        <v>249140.93</v>
      </c>
      <c r="H48" s="36">
        <f t="shared" ref="H48:I48" si="13">H40+H42-H44+H46</f>
        <v>122625.93</v>
      </c>
      <c r="I48" s="36">
        <f t="shared" si="13"/>
        <v>85625.93</v>
      </c>
    </row>
    <row r="49" spans="1:5" ht="13.5" thickTop="1" x14ac:dyDescent="0.2"/>
    <row r="50" spans="1:5" x14ac:dyDescent="0.2">
      <c r="A50" t="s">
        <v>1433</v>
      </c>
      <c r="C50" s="10"/>
      <c r="E50" s="115"/>
    </row>
    <row r="51" spans="1:5" x14ac:dyDescent="0.2">
      <c r="C51" s="10"/>
      <c r="D51" s="10"/>
    </row>
    <row r="151" spans="3:7" x14ac:dyDescent="0.2">
      <c r="C151" s="9"/>
      <c r="D151" s="9"/>
      <c r="E151" s="9"/>
      <c r="F151" s="9"/>
      <c r="G151" s="9"/>
    </row>
  </sheetData>
  <phoneticPr fontId="2" type="noConversion"/>
  <pageMargins left="0.5" right="0.5" top="1" bottom="1" header="0.5" footer="0.5"/>
  <pageSetup scale="82" firstPageNumber="60" fitToHeight="0" orientation="portrait" useFirstPageNumber="1" r:id="rId1"/>
  <headerFooter alignWithMargins="0">
    <oddFooter>&amp;C&amp;P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4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3.285156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  <col min="10" max="10" width="11.28515625" bestFit="1" customWidth="1"/>
  </cols>
  <sheetData>
    <row r="1" spans="1:9" x14ac:dyDescent="0.2">
      <c r="A1" s="16" t="s">
        <v>1433</v>
      </c>
      <c r="B1" s="4" t="s">
        <v>653</v>
      </c>
      <c r="C1" s="1" t="s">
        <v>1433</v>
      </c>
      <c r="D1" s="1" t="s">
        <v>1433</v>
      </c>
      <c r="E1" s="1" t="s">
        <v>1433</v>
      </c>
      <c r="F1" s="1" t="s">
        <v>1433</v>
      </c>
      <c r="G1" s="1" t="s">
        <v>1433</v>
      </c>
    </row>
    <row r="2" spans="1:9" x14ac:dyDescent="0.2">
      <c r="A2" s="16"/>
      <c r="B2" s="4" t="s">
        <v>2593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3" spans="1:9" x14ac:dyDescent="0.2">
      <c r="A3" s="16"/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9" x14ac:dyDescent="0.2">
      <c r="A4" s="16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198" t="s">
        <v>2595</v>
      </c>
      <c r="B5" s="4" t="s">
        <v>313</v>
      </c>
    </row>
    <row r="6" spans="1:9" x14ac:dyDescent="0.2">
      <c r="A6" s="35" t="s">
        <v>2594</v>
      </c>
      <c r="B6" s="126" t="s">
        <v>2279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40000</v>
      </c>
    </row>
    <row r="7" spans="1:9" x14ac:dyDescent="0.2">
      <c r="A7" s="35" t="s">
        <v>2611</v>
      </c>
      <c r="B7" s="125" t="s">
        <v>1761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0">
        <v>0</v>
      </c>
      <c r="I7" s="10">
        <v>0</v>
      </c>
    </row>
    <row r="8" spans="1:9" ht="13.5" thickBot="1" x14ac:dyDescent="0.25">
      <c r="A8" s="16"/>
      <c r="B8" s="6" t="s">
        <v>137</v>
      </c>
      <c r="C8" s="135">
        <f t="shared" ref="C8:G8" si="0">SUM(C6:C7)</f>
        <v>0</v>
      </c>
      <c r="D8" s="135">
        <f t="shared" si="0"/>
        <v>0</v>
      </c>
      <c r="E8" s="135">
        <f t="shared" si="0"/>
        <v>0</v>
      </c>
      <c r="F8" s="135">
        <f t="shared" si="0"/>
        <v>0</v>
      </c>
      <c r="G8" s="135">
        <f t="shared" si="0"/>
        <v>0</v>
      </c>
      <c r="H8" s="135">
        <f t="shared" ref="H8:I8" si="1">SUM(H6:H7)</f>
        <v>0</v>
      </c>
      <c r="I8" s="135">
        <f t="shared" si="1"/>
        <v>40000</v>
      </c>
    </row>
    <row r="9" spans="1:9" ht="13.5" thickTop="1" x14ac:dyDescent="0.2">
      <c r="A9" s="16" t="s">
        <v>1433</v>
      </c>
      <c r="C9" s="10"/>
      <c r="D9" s="10"/>
      <c r="E9" s="10"/>
      <c r="F9" s="10"/>
      <c r="G9" s="10"/>
      <c r="H9" s="10"/>
      <c r="I9" s="10"/>
    </row>
    <row r="10" spans="1:9" x14ac:dyDescent="0.2">
      <c r="A10" s="198" t="str">
        <f>+A5</f>
        <v>745.</v>
      </c>
      <c r="B10" s="133" t="s">
        <v>861</v>
      </c>
      <c r="C10" s="10"/>
      <c r="D10" s="10"/>
      <c r="E10" s="10"/>
      <c r="F10" s="10"/>
      <c r="G10" s="10"/>
      <c r="H10" s="10"/>
      <c r="I10" s="10"/>
    </row>
    <row r="11" spans="1:9" x14ac:dyDescent="0.2">
      <c r="A11" s="52" t="s">
        <v>2596</v>
      </c>
      <c r="B11" s="126" t="s">
        <v>2280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</row>
    <row r="12" spans="1:9" x14ac:dyDescent="0.2">
      <c r="A12" s="52" t="s">
        <v>2597</v>
      </c>
      <c r="B12" s="126" t="s">
        <v>2134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244">
        <v>0</v>
      </c>
    </row>
    <row r="13" spans="1:9" x14ac:dyDescent="0.2">
      <c r="A13" s="52" t="s">
        <v>2598</v>
      </c>
      <c r="B13" s="126" t="s">
        <v>2135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244">
        <v>0</v>
      </c>
    </row>
    <row r="14" spans="1:9" x14ac:dyDescent="0.2">
      <c r="A14" s="52" t="s">
        <v>2599</v>
      </c>
      <c r="B14" s="126" t="s">
        <v>1941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244">
        <v>0</v>
      </c>
    </row>
    <row r="15" spans="1:9" x14ac:dyDescent="0.2">
      <c r="A15" s="52" t="s">
        <v>2600</v>
      </c>
      <c r="B15" s="126" t="s">
        <v>2136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244">
        <v>0</v>
      </c>
    </row>
    <row r="16" spans="1:9" x14ac:dyDescent="0.2">
      <c r="A16" s="52" t="s">
        <v>2601</v>
      </c>
      <c r="B16" s="126" t="s">
        <v>2282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244">
        <v>0</v>
      </c>
    </row>
    <row r="17" spans="1:9" x14ac:dyDescent="0.2">
      <c r="A17" s="52" t="s">
        <v>2602</v>
      </c>
      <c r="B17" s="126" t="s">
        <v>2283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244">
        <v>0</v>
      </c>
    </row>
    <row r="18" spans="1:9" x14ac:dyDescent="0.2">
      <c r="A18" s="52" t="s">
        <v>2603</v>
      </c>
      <c r="B18" s="126" t="s">
        <v>2284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244">
        <v>0</v>
      </c>
    </row>
    <row r="19" spans="1:9" x14ac:dyDescent="0.2">
      <c r="A19" s="52" t="s">
        <v>2604</v>
      </c>
      <c r="B19" s="126" t="s">
        <v>2137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244">
        <v>0</v>
      </c>
    </row>
    <row r="20" spans="1:9" x14ac:dyDescent="0.2">
      <c r="A20" s="52" t="s">
        <v>2605</v>
      </c>
      <c r="B20" s="126" t="s">
        <v>1942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244">
        <v>40000</v>
      </c>
    </row>
    <row r="21" spans="1:9" x14ac:dyDescent="0.2">
      <c r="A21" s="52" t="s">
        <v>2606</v>
      </c>
      <c r="B21" s="126" t="s">
        <v>1943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244">
        <v>0</v>
      </c>
    </row>
    <row r="22" spans="1:9" x14ac:dyDescent="0.2">
      <c r="A22" s="52" t="s">
        <v>2607</v>
      </c>
      <c r="B22" s="126" t="s">
        <v>1944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244">
        <v>0</v>
      </c>
    </row>
    <row r="23" spans="1:9" x14ac:dyDescent="0.2">
      <c r="A23" s="52" t="s">
        <v>2608</v>
      </c>
      <c r="B23" s="126" t="s">
        <v>1946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244">
        <v>0</v>
      </c>
    </row>
    <row r="24" spans="1:9" x14ac:dyDescent="0.2">
      <c r="A24" s="35" t="s">
        <v>2609</v>
      </c>
      <c r="B24" s="126" t="s">
        <v>2386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244">
        <v>0</v>
      </c>
    </row>
    <row r="25" spans="1:9" x14ac:dyDescent="0.2">
      <c r="A25" s="16" t="s">
        <v>2610</v>
      </c>
      <c r="B25" s="126" t="s">
        <v>1582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</row>
    <row r="26" spans="1:9" ht="13.5" thickBot="1" x14ac:dyDescent="0.25">
      <c r="A26" s="16" t="s">
        <v>1433</v>
      </c>
      <c r="B26" s="6" t="s">
        <v>1341</v>
      </c>
      <c r="C26" s="135">
        <f t="shared" ref="C26:I26" si="2">SUM(C11:C25)</f>
        <v>0</v>
      </c>
      <c r="D26" s="135">
        <f t="shared" si="2"/>
        <v>0</v>
      </c>
      <c r="E26" s="135">
        <f t="shared" si="2"/>
        <v>0</v>
      </c>
      <c r="F26" s="135">
        <f t="shared" si="2"/>
        <v>0</v>
      </c>
      <c r="G26" s="135">
        <f t="shared" si="2"/>
        <v>0</v>
      </c>
      <c r="H26" s="135">
        <f t="shared" si="2"/>
        <v>0</v>
      </c>
      <c r="I26" s="135">
        <f t="shared" si="2"/>
        <v>40000</v>
      </c>
    </row>
    <row r="27" spans="1:9" ht="13.5" thickTop="1" x14ac:dyDescent="0.2">
      <c r="A27" s="16"/>
      <c r="B27" s="6"/>
      <c r="C27" s="10"/>
      <c r="D27" s="10"/>
      <c r="E27" s="10"/>
      <c r="F27" s="10"/>
      <c r="G27" s="10"/>
      <c r="H27" s="10"/>
      <c r="I27" s="10"/>
    </row>
    <row r="28" spans="1:9" x14ac:dyDescent="0.2">
      <c r="A28" s="16" t="s">
        <v>1433</v>
      </c>
      <c r="B28" s="4" t="s">
        <v>653</v>
      </c>
      <c r="C28" s="10"/>
      <c r="D28" s="10"/>
      <c r="E28" s="10"/>
      <c r="F28" s="10"/>
      <c r="G28" s="10"/>
      <c r="H28" s="10"/>
      <c r="I28" s="10"/>
    </row>
    <row r="29" spans="1:9" x14ac:dyDescent="0.2">
      <c r="A29" s="16"/>
      <c r="B29" s="4" t="str">
        <f>+B2</f>
        <v>OPIOD SETTLEMENT (FUND 745)</v>
      </c>
      <c r="C29" s="10"/>
      <c r="D29" s="10"/>
      <c r="E29" s="10"/>
      <c r="F29" s="10"/>
      <c r="G29" s="10"/>
      <c r="H29" s="10"/>
      <c r="I29" s="10"/>
    </row>
    <row r="30" spans="1:9" x14ac:dyDescent="0.2">
      <c r="A30" s="16"/>
      <c r="B30" s="4" t="s">
        <v>1343</v>
      </c>
      <c r="C30" s="10"/>
      <c r="D30" s="10"/>
      <c r="E30" s="10"/>
      <c r="F30" s="10"/>
      <c r="G30" s="10"/>
      <c r="H30" s="10"/>
      <c r="I30" s="10"/>
    </row>
    <row r="31" spans="1:9" x14ac:dyDescent="0.2">
      <c r="C31" s="129" t="str">
        <f t="shared" ref="C31:I31" si="3">+C4</f>
        <v>2018 ACTUAL</v>
      </c>
      <c r="D31" s="129" t="str">
        <f t="shared" si="3"/>
        <v>2019 ACTUAL</v>
      </c>
      <c r="E31" s="129" t="str">
        <f t="shared" si="3"/>
        <v>2020 ACTUAL</v>
      </c>
      <c r="F31" s="129" t="str">
        <f t="shared" si="3"/>
        <v>2021 ACTUAL</v>
      </c>
      <c r="G31" s="129" t="str">
        <f t="shared" si="3"/>
        <v>2022 ACTUAL</v>
      </c>
      <c r="H31" s="129" t="str">
        <f t="shared" si="3"/>
        <v xml:space="preserve">2023 BUDGET </v>
      </c>
      <c r="I31" s="129" t="str">
        <f t="shared" si="3"/>
        <v xml:space="preserve">2024 BUDGET </v>
      </c>
    </row>
    <row r="32" spans="1:9" x14ac:dyDescent="0.2">
      <c r="C32" s="112"/>
      <c r="D32" s="112"/>
      <c r="E32" s="112"/>
      <c r="F32" s="112"/>
      <c r="G32" s="112"/>
      <c r="H32" s="112"/>
      <c r="I32" s="112"/>
    </row>
    <row r="33" spans="1:9" x14ac:dyDescent="0.2">
      <c r="B33" t="s">
        <v>1344</v>
      </c>
      <c r="C33" s="10">
        <v>0</v>
      </c>
      <c r="D33" s="10">
        <f t="shared" ref="D33:I33" si="4">C41</f>
        <v>0</v>
      </c>
      <c r="E33" s="10">
        <f t="shared" si="4"/>
        <v>0</v>
      </c>
      <c r="F33" s="10">
        <f t="shared" si="4"/>
        <v>0</v>
      </c>
      <c r="G33" s="10">
        <f t="shared" si="4"/>
        <v>0</v>
      </c>
      <c r="H33" s="10">
        <f t="shared" si="4"/>
        <v>0</v>
      </c>
      <c r="I33" s="10">
        <f t="shared" si="4"/>
        <v>0</v>
      </c>
    </row>
    <row r="34" spans="1:9" x14ac:dyDescent="0.2">
      <c r="C34" s="10"/>
      <c r="D34" s="10"/>
      <c r="E34" s="10"/>
      <c r="F34" s="10"/>
      <c r="G34" s="10"/>
      <c r="H34" s="10"/>
      <c r="I34" s="10"/>
    </row>
    <row r="35" spans="1:9" x14ac:dyDescent="0.2">
      <c r="B35" t="s">
        <v>113</v>
      </c>
      <c r="C35" s="10">
        <f t="shared" ref="C35:I35" si="5">C8</f>
        <v>0</v>
      </c>
      <c r="D35" s="10">
        <f t="shared" si="5"/>
        <v>0</v>
      </c>
      <c r="E35" s="10">
        <f t="shared" si="5"/>
        <v>0</v>
      </c>
      <c r="F35" s="10">
        <f t="shared" si="5"/>
        <v>0</v>
      </c>
      <c r="G35" s="10">
        <f t="shared" si="5"/>
        <v>0</v>
      </c>
      <c r="H35" s="10">
        <f t="shared" si="5"/>
        <v>0</v>
      </c>
      <c r="I35" s="10">
        <f t="shared" si="5"/>
        <v>40000</v>
      </c>
    </row>
    <row r="36" spans="1:9" x14ac:dyDescent="0.2">
      <c r="C36" s="10"/>
      <c r="D36" s="10"/>
      <c r="E36" s="10"/>
      <c r="F36" s="10"/>
      <c r="G36" s="10"/>
      <c r="H36" s="10"/>
      <c r="I36" s="10"/>
    </row>
    <row r="37" spans="1:9" x14ac:dyDescent="0.2">
      <c r="B37" t="s">
        <v>1427</v>
      </c>
      <c r="C37" s="10">
        <f t="shared" ref="C37:I37" si="6">C26</f>
        <v>0</v>
      </c>
      <c r="D37" s="10">
        <f t="shared" si="6"/>
        <v>0</v>
      </c>
      <c r="E37" s="10">
        <f t="shared" si="6"/>
        <v>0</v>
      </c>
      <c r="F37" s="10">
        <f t="shared" si="6"/>
        <v>0</v>
      </c>
      <c r="G37" s="10">
        <f t="shared" si="6"/>
        <v>0</v>
      </c>
      <c r="H37" s="10">
        <f t="shared" si="6"/>
        <v>0</v>
      </c>
      <c r="I37" s="10">
        <f t="shared" si="6"/>
        <v>40000</v>
      </c>
    </row>
    <row r="38" spans="1:9" x14ac:dyDescent="0.2">
      <c r="C38" s="10"/>
      <c r="D38" s="10"/>
      <c r="E38" s="10"/>
      <c r="F38" s="10"/>
      <c r="G38" s="10"/>
      <c r="H38" s="10"/>
      <c r="I38" s="10"/>
    </row>
    <row r="39" spans="1:9" x14ac:dyDescent="0.2">
      <c r="B39" t="s">
        <v>1140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</row>
    <row r="40" spans="1:9" x14ac:dyDescent="0.2">
      <c r="C40" s="10"/>
      <c r="D40" s="10"/>
      <c r="E40" s="10"/>
      <c r="F40" s="10"/>
      <c r="G40" s="10"/>
      <c r="H40" s="10"/>
      <c r="I40" s="10"/>
    </row>
    <row r="41" spans="1:9" ht="13.5" thickBot="1" x14ac:dyDescent="0.25">
      <c r="A41" t="s">
        <v>1433</v>
      </c>
      <c r="B41" t="s">
        <v>1348</v>
      </c>
      <c r="C41" s="36">
        <f t="shared" ref="C41:I41" si="7">C33+C35-C37+C39</f>
        <v>0</v>
      </c>
      <c r="D41" s="36">
        <f t="shared" si="7"/>
        <v>0</v>
      </c>
      <c r="E41" s="36">
        <f t="shared" si="7"/>
        <v>0</v>
      </c>
      <c r="F41" s="36">
        <f t="shared" si="7"/>
        <v>0</v>
      </c>
      <c r="G41" s="36">
        <f t="shared" si="7"/>
        <v>0</v>
      </c>
      <c r="H41" s="36">
        <f t="shared" si="7"/>
        <v>0</v>
      </c>
      <c r="I41" s="36">
        <f t="shared" si="7"/>
        <v>0</v>
      </c>
    </row>
    <row r="42" spans="1:9" ht="13.5" thickTop="1" x14ac:dyDescent="0.2"/>
    <row r="43" spans="1:9" x14ac:dyDescent="0.2">
      <c r="A43" t="s">
        <v>1433</v>
      </c>
      <c r="C43" s="10"/>
      <c r="E43" s="115"/>
    </row>
    <row r="44" spans="1:9" x14ac:dyDescent="0.2">
      <c r="C44" s="10"/>
      <c r="D44" s="10"/>
    </row>
    <row r="144" spans="3:7" x14ac:dyDescent="0.2">
      <c r="C144" s="9"/>
      <c r="D144" s="9"/>
      <c r="E144" s="9"/>
      <c r="F144" s="9"/>
      <c r="G144" s="9"/>
    </row>
  </sheetData>
  <pageMargins left="0.5" right="0.5" top="1" bottom="1" header="0.5" footer="0.5"/>
  <pageSetup scale="82" firstPageNumber="61" fitToHeight="0" orientation="portrait" useFirstPageNumber="1" r:id="rId1"/>
  <headerFooter alignWithMargins="0">
    <oddFooter>&amp;C&amp;P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I125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4.1406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t="s">
        <v>1433</v>
      </c>
      <c r="B1" s="4" t="s">
        <v>653</v>
      </c>
      <c r="C1" s="1" t="s">
        <v>1433</v>
      </c>
      <c r="D1" s="1" t="s">
        <v>1433</v>
      </c>
      <c r="E1" s="1" t="s">
        <v>1433</v>
      </c>
      <c r="F1" s="1" t="s">
        <v>1433</v>
      </c>
      <c r="G1" s="1" t="s">
        <v>1433</v>
      </c>
    </row>
    <row r="2" spans="1:9" x14ac:dyDescent="0.2">
      <c r="B2" s="4" t="s">
        <v>423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3" spans="1:9" x14ac:dyDescent="0.2"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9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198" t="s">
        <v>2508</v>
      </c>
      <c r="B5" s="4" t="s">
        <v>313</v>
      </c>
      <c r="C5" s="29"/>
      <c r="D5" s="29"/>
      <c r="E5" s="29"/>
      <c r="F5" s="29"/>
      <c r="G5" s="29"/>
      <c r="H5" s="29"/>
      <c r="I5" s="29"/>
    </row>
    <row r="6" spans="1:9" x14ac:dyDescent="0.2">
      <c r="A6" t="s">
        <v>1218</v>
      </c>
      <c r="B6" s="4" t="s">
        <v>1432</v>
      </c>
      <c r="C6" s="178">
        <v>0</v>
      </c>
      <c r="D6" s="179">
        <v>0</v>
      </c>
      <c r="E6" s="179">
        <v>0</v>
      </c>
      <c r="F6" s="179">
        <v>0</v>
      </c>
      <c r="G6" s="179">
        <v>0</v>
      </c>
      <c r="H6" s="179">
        <v>0</v>
      </c>
      <c r="I6" s="179">
        <v>0</v>
      </c>
    </row>
    <row r="7" spans="1:9" x14ac:dyDescent="0.2">
      <c r="A7" t="s">
        <v>1219</v>
      </c>
      <c r="B7" s="5" t="s">
        <v>1426</v>
      </c>
      <c r="C7" s="178">
        <v>0</v>
      </c>
      <c r="D7" s="179">
        <v>0</v>
      </c>
      <c r="E7" s="179">
        <v>0</v>
      </c>
      <c r="F7" s="179">
        <v>0</v>
      </c>
      <c r="G7" s="179">
        <v>0</v>
      </c>
      <c r="H7" s="179">
        <v>0</v>
      </c>
      <c r="I7" s="179">
        <v>0</v>
      </c>
    </row>
    <row r="8" spans="1:9" ht="12.75" customHeight="1" x14ac:dyDescent="0.2">
      <c r="A8" t="s">
        <v>1660</v>
      </c>
      <c r="B8" t="s">
        <v>1553</v>
      </c>
      <c r="C8" s="192">
        <v>0</v>
      </c>
      <c r="D8" s="193">
        <v>0</v>
      </c>
      <c r="E8" s="193">
        <v>0</v>
      </c>
      <c r="F8" s="193">
        <v>0</v>
      </c>
      <c r="G8" s="193">
        <v>0</v>
      </c>
      <c r="H8" s="193">
        <v>0</v>
      </c>
      <c r="I8" s="193">
        <v>0</v>
      </c>
    </row>
    <row r="9" spans="1:9" x14ac:dyDescent="0.2">
      <c r="A9" t="s">
        <v>1220</v>
      </c>
      <c r="B9" t="s">
        <v>972</v>
      </c>
      <c r="C9" s="192">
        <v>1029.68</v>
      </c>
      <c r="D9" s="193">
        <v>616.85</v>
      </c>
      <c r="E9" s="193">
        <v>546.54</v>
      </c>
      <c r="F9" s="193">
        <v>1180.76</v>
      </c>
      <c r="G9" s="193">
        <v>645.73</v>
      </c>
      <c r="H9" s="193">
        <v>100</v>
      </c>
      <c r="I9" s="193">
        <f>+H9</f>
        <v>100</v>
      </c>
    </row>
    <row r="10" spans="1:9" ht="13.5" thickBot="1" x14ac:dyDescent="0.25">
      <c r="A10" t="s">
        <v>1433</v>
      </c>
      <c r="B10" s="6" t="s">
        <v>137</v>
      </c>
      <c r="C10" s="194">
        <f t="shared" ref="C10:G10" si="0">SUM(C6:C9)</f>
        <v>1029.68</v>
      </c>
      <c r="D10" s="195">
        <f t="shared" si="0"/>
        <v>616.85</v>
      </c>
      <c r="E10" s="195">
        <f t="shared" si="0"/>
        <v>546.54</v>
      </c>
      <c r="F10" s="195">
        <f t="shared" si="0"/>
        <v>1180.76</v>
      </c>
      <c r="G10" s="195">
        <f t="shared" si="0"/>
        <v>645.73</v>
      </c>
      <c r="H10" s="195">
        <f t="shared" ref="H10:I10" si="1">SUM(H6:H9)</f>
        <v>100</v>
      </c>
      <c r="I10" s="195">
        <f t="shared" si="1"/>
        <v>100</v>
      </c>
    </row>
    <row r="11" spans="1:9" ht="13.5" thickTop="1" x14ac:dyDescent="0.2">
      <c r="A11" t="s">
        <v>1433</v>
      </c>
      <c r="C11" s="178"/>
      <c r="D11" s="179"/>
      <c r="E11" s="179"/>
      <c r="F11" s="179"/>
      <c r="G11" s="179"/>
      <c r="H11" s="179"/>
      <c r="I11" s="179"/>
    </row>
    <row r="12" spans="1:9" x14ac:dyDescent="0.2">
      <c r="A12" s="198" t="s">
        <v>2509</v>
      </c>
      <c r="B12" s="4" t="s">
        <v>861</v>
      </c>
      <c r="C12" s="178"/>
      <c r="D12" s="179"/>
      <c r="E12" s="179"/>
      <c r="F12" s="179"/>
      <c r="G12" s="179"/>
      <c r="H12" s="179"/>
      <c r="I12" s="179"/>
    </row>
    <row r="13" spans="1:9" x14ac:dyDescent="0.2">
      <c r="A13" t="s">
        <v>424</v>
      </c>
      <c r="B13" t="s">
        <v>767</v>
      </c>
      <c r="C13" s="178">
        <v>6051</v>
      </c>
      <c r="D13" s="179">
        <v>1237</v>
      </c>
      <c r="E13" s="179">
        <v>0</v>
      </c>
      <c r="F13" s="179">
        <v>0</v>
      </c>
      <c r="G13" s="179">
        <v>35.57</v>
      </c>
      <c r="H13" s="179">
        <v>0</v>
      </c>
      <c r="I13" s="179">
        <v>0</v>
      </c>
    </row>
    <row r="14" spans="1:9" x14ac:dyDescent="0.2">
      <c r="A14" t="s">
        <v>425</v>
      </c>
      <c r="B14" t="s">
        <v>144</v>
      </c>
      <c r="C14" s="178">
        <v>5141.75</v>
      </c>
      <c r="D14" s="179">
        <v>29.75</v>
      </c>
      <c r="E14" s="179">
        <v>20782.32</v>
      </c>
      <c r="F14" s="179">
        <v>25420.38</v>
      </c>
      <c r="G14" s="179">
        <v>25099</v>
      </c>
      <c r="H14" s="193">
        <v>165000</v>
      </c>
      <c r="I14" s="193">
        <v>50000</v>
      </c>
    </row>
    <row r="15" spans="1:9" ht="13.5" thickBot="1" x14ac:dyDescent="0.25">
      <c r="B15" s="6" t="s">
        <v>1341</v>
      </c>
      <c r="C15" s="194">
        <f t="shared" ref="C15:G15" si="2">SUM(C13:C14)</f>
        <v>11192.75</v>
      </c>
      <c r="D15" s="195">
        <f t="shared" si="2"/>
        <v>1266.75</v>
      </c>
      <c r="E15" s="195">
        <f t="shared" si="2"/>
        <v>20782.32</v>
      </c>
      <c r="F15" s="195">
        <f t="shared" si="2"/>
        <v>25420.38</v>
      </c>
      <c r="G15" s="195">
        <f t="shared" si="2"/>
        <v>25134.57</v>
      </c>
      <c r="H15" s="195">
        <f t="shared" ref="H15:I15" si="3">SUM(H13:H14)</f>
        <v>165000</v>
      </c>
      <c r="I15" s="195">
        <f t="shared" si="3"/>
        <v>50000</v>
      </c>
    </row>
    <row r="16" spans="1:9" ht="13.5" thickTop="1" x14ac:dyDescent="0.2">
      <c r="B16" s="6"/>
      <c r="C16" s="184"/>
      <c r="D16" s="185"/>
      <c r="E16" s="185"/>
      <c r="F16" s="185"/>
      <c r="G16" s="185"/>
      <c r="H16" s="185"/>
      <c r="I16" s="185"/>
    </row>
    <row r="17" spans="1:9" x14ac:dyDescent="0.2">
      <c r="B17" s="4" t="s">
        <v>653</v>
      </c>
      <c r="C17" s="184"/>
      <c r="D17" s="185"/>
      <c r="E17" s="185"/>
      <c r="F17" s="185"/>
      <c r="G17" s="185"/>
      <c r="H17" s="185"/>
      <c r="I17" s="185"/>
    </row>
    <row r="18" spans="1:9" x14ac:dyDescent="0.2">
      <c r="B18" s="4" t="s">
        <v>423</v>
      </c>
      <c r="C18" s="184"/>
      <c r="D18" s="185"/>
      <c r="E18" s="185"/>
      <c r="F18" s="185"/>
      <c r="G18" s="185"/>
      <c r="H18" s="185"/>
      <c r="I18" s="185"/>
    </row>
    <row r="19" spans="1:9" x14ac:dyDescent="0.2">
      <c r="B19" s="4" t="s">
        <v>1343</v>
      </c>
      <c r="C19" s="178"/>
      <c r="D19" s="179"/>
      <c r="E19" s="179"/>
      <c r="F19" s="179"/>
      <c r="G19" s="179"/>
      <c r="H19" s="179"/>
      <c r="I19" s="179"/>
    </row>
    <row r="20" spans="1:9" x14ac:dyDescent="0.2">
      <c r="C20" s="188" t="str">
        <f t="shared" ref="C20:G20" si="4">+C4</f>
        <v>2018 ACTUAL</v>
      </c>
      <c r="D20" s="188" t="str">
        <f t="shared" si="4"/>
        <v>2019 ACTUAL</v>
      </c>
      <c r="E20" s="188" t="str">
        <f t="shared" si="4"/>
        <v>2020 ACTUAL</v>
      </c>
      <c r="F20" s="188" t="str">
        <f t="shared" si="4"/>
        <v>2021 ACTUAL</v>
      </c>
      <c r="G20" s="188" t="str">
        <f t="shared" si="4"/>
        <v>2022 ACTUAL</v>
      </c>
      <c r="H20" s="188" t="str">
        <f t="shared" ref="H20:I20" si="5">+H4</f>
        <v xml:space="preserve">2023 BUDGET </v>
      </c>
      <c r="I20" s="188" t="str">
        <f t="shared" si="5"/>
        <v xml:space="preserve">2024 BUDGET </v>
      </c>
    </row>
    <row r="21" spans="1:9" x14ac:dyDescent="0.2">
      <c r="C21" s="186"/>
      <c r="D21" s="187"/>
      <c r="E21" s="187"/>
      <c r="F21" s="187"/>
      <c r="G21" s="187"/>
      <c r="H21" s="187"/>
      <c r="I21" s="187"/>
    </row>
    <row r="22" spans="1:9" x14ac:dyDescent="0.2">
      <c r="A22" t="s">
        <v>1433</v>
      </c>
      <c r="B22" t="s">
        <v>1344</v>
      </c>
      <c r="C22" s="178">
        <v>284834.05</v>
      </c>
      <c r="D22" s="179">
        <f t="shared" ref="D22:I22" si="6">C30</f>
        <v>274670.98</v>
      </c>
      <c r="E22" s="179">
        <f t="shared" si="6"/>
        <v>274021.07999999996</v>
      </c>
      <c r="F22" s="179">
        <f t="shared" si="6"/>
        <v>253785.29999999993</v>
      </c>
      <c r="G22" s="179">
        <f t="shared" si="6"/>
        <v>229545.67999999993</v>
      </c>
      <c r="H22" s="179">
        <f t="shared" si="6"/>
        <v>205056.83999999994</v>
      </c>
      <c r="I22" s="179">
        <f t="shared" si="6"/>
        <v>40156.839999999938</v>
      </c>
    </row>
    <row r="23" spans="1:9" x14ac:dyDescent="0.2">
      <c r="C23" s="178"/>
      <c r="D23" s="179"/>
      <c r="E23" s="179"/>
      <c r="F23" s="179"/>
      <c r="G23" s="179"/>
      <c r="H23" s="179"/>
      <c r="I23" s="179"/>
    </row>
    <row r="24" spans="1:9" x14ac:dyDescent="0.2">
      <c r="A24" t="s">
        <v>1433</v>
      </c>
      <c r="B24" t="s">
        <v>113</v>
      </c>
      <c r="C24" s="178">
        <f t="shared" ref="C24:G24" si="7">C10</f>
        <v>1029.68</v>
      </c>
      <c r="D24" s="179">
        <f t="shared" si="7"/>
        <v>616.85</v>
      </c>
      <c r="E24" s="179">
        <f t="shared" si="7"/>
        <v>546.54</v>
      </c>
      <c r="F24" s="179">
        <f t="shared" si="7"/>
        <v>1180.76</v>
      </c>
      <c r="G24" s="179">
        <f t="shared" si="7"/>
        <v>645.73</v>
      </c>
      <c r="H24" s="179">
        <f t="shared" ref="H24:I24" si="8">H10</f>
        <v>100</v>
      </c>
      <c r="I24" s="179">
        <f t="shared" si="8"/>
        <v>100</v>
      </c>
    </row>
    <row r="25" spans="1:9" x14ac:dyDescent="0.2">
      <c r="C25" s="178"/>
      <c r="D25" s="179"/>
      <c r="E25" s="179"/>
      <c r="F25" s="179"/>
      <c r="G25" s="179"/>
      <c r="H25" s="179"/>
      <c r="I25" s="179"/>
    </row>
    <row r="26" spans="1:9" x14ac:dyDescent="0.2">
      <c r="B26" t="s">
        <v>1427</v>
      </c>
      <c r="C26" s="184">
        <f t="shared" ref="C26:G26" si="9">C15</f>
        <v>11192.75</v>
      </c>
      <c r="D26" s="185">
        <f t="shared" si="9"/>
        <v>1266.75</v>
      </c>
      <c r="E26" s="185">
        <f t="shared" si="9"/>
        <v>20782.32</v>
      </c>
      <c r="F26" s="185">
        <f t="shared" si="9"/>
        <v>25420.38</v>
      </c>
      <c r="G26" s="185">
        <f t="shared" si="9"/>
        <v>25134.57</v>
      </c>
      <c r="H26" s="185">
        <f t="shared" ref="H26:I26" si="10">H15</f>
        <v>165000</v>
      </c>
      <c r="I26" s="185">
        <f t="shared" si="10"/>
        <v>50000</v>
      </c>
    </row>
    <row r="27" spans="1:9" x14ac:dyDescent="0.2">
      <c r="C27" s="184"/>
      <c r="D27" s="185"/>
      <c r="E27" s="185"/>
      <c r="F27" s="185"/>
      <c r="G27" s="185"/>
      <c r="H27" s="185"/>
      <c r="I27" s="185"/>
    </row>
    <row r="28" spans="1:9" x14ac:dyDescent="0.2">
      <c r="B28" t="s">
        <v>1140</v>
      </c>
      <c r="C28" s="180">
        <v>0</v>
      </c>
      <c r="D28" s="181">
        <v>0</v>
      </c>
      <c r="E28" s="181">
        <v>0</v>
      </c>
      <c r="F28" s="181">
        <v>0</v>
      </c>
      <c r="G28" s="181">
        <v>0</v>
      </c>
      <c r="H28" s="181">
        <v>0</v>
      </c>
      <c r="I28" s="181">
        <v>0</v>
      </c>
    </row>
    <row r="29" spans="1:9" x14ac:dyDescent="0.2">
      <c r="C29" s="178"/>
      <c r="D29" s="179"/>
      <c r="E29" s="179"/>
      <c r="F29" s="179"/>
      <c r="G29" s="179"/>
      <c r="H29" s="179"/>
      <c r="I29" s="179"/>
    </row>
    <row r="30" spans="1:9" ht="13.5" thickBot="1" x14ac:dyDescent="0.25">
      <c r="B30" t="s">
        <v>1348</v>
      </c>
      <c r="C30" s="182">
        <f t="shared" ref="C30:G30" si="11">SUM(C22+C24-C26+C28)</f>
        <v>274670.98</v>
      </c>
      <c r="D30" s="183">
        <f t="shared" si="11"/>
        <v>274021.07999999996</v>
      </c>
      <c r="E30" s="183">
        <f t="shared" si="11"/>
        <v>253785.29999999993</v>
      </c>
      <c r="F30" s="183">
        <f t="shared" si="11"/>
        <v>229545.67999999993</v>
      </c>
      <c r="G30" s="183">
        <f t="shared" si="11"/>
        <v>205056.83999999994</v>
      </c>
      <c r="H30" s="183">
        <f t="shared" ref="H30:I30" si="12">SUM(H22+H24-H26+H28)</f>
        <v>40156.839999999938</v>
      </c>
      <c r="I30" s="183">
        <f t="shared" si="12"/>
        <v>-9743.1600000000617</v>
      </c>
    </row>
    <row r="31" spans="1:9" ht="13.5" thickTop="1" x14ac:dyDescent="0.2">
      <c r="D31" s="10"/>
    </row>
    <row r="32" spans="1:9" x14ac:dyDescent="0.2">
      <c r="C32" s="10"/>
      <c r="E32" s="115"/>
    </row>
    <row r="125" spans="3:7" x14ac:dyDescent="0.2">
      <c r="C125" s="9"/>
      <c r="D125" s="9"/>
      <c r="E125" s="9"/>
      <c r="F125" s="9"/>
      <c r="G125" s="9"/>
    </row>
  </sheetData>
  <phoneticPr fontId="2" type="noConversion"/>
  <pageMargins left="0.5" right="0.5" top="1" bottom="1" header="0.5" footer="0.5"/>
  <pageSetup scale="82" firstPageNumber="62" fitToHeight="0" orientation="portrait" useFirstPageNumber="1" r:id="rId1"/>
  <headerFooter alignWithMargins="0">
    <oddFooter>&amp;C&amp;P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I152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3.425781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s="30" t="s">
        <v>1433</v>
      </c>
      <c r="B1" s="20" t="s">
        <v>653</v>
      </c>
      <c r="C1" s="1" t="s">
        <v>1433</v>
      </c>
      <c r="D1" s="1" t="s">
        <v>1433</v>
      </c>
      <c r="E1" s="1" t="s">
        <v>1433</v>
      </c>
      <c r="F1" s="1" t="s">
        <v>1433</v>
      </c>
      <c r="G1" s="1" t="s">
        <v>1433</v>
      </c>
    </row>
    <row r="2" spans="1:9" x14ac:dyDescent="0.2">
      <c r="A2" s="30"/>
      <c r="B2" s="4" t="s">
        <v>19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3" spans="1:9" x14ac:dyDescent="0.2">
      <c r="A3" s="30"/>
      <c r="B3" s="4" t="s">
        <v>313</v>
      </c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9" x14ac:dyDescent="0.2">
      <c r="A4" s="30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207">
        <v>890.33</v>
      </c>
      <c r="B5" s="20" t="s">
        <v>769</v>
      </c>
    </row>
    <row r="6" spans="1:9" x14ac:dyDescent="0.2">
      <c r="A6" s="30" t="s">
        <v>1221</v>
      </c>
      <c r="B6" s="125" t="s">
        <v>2288</v>
      </c>
      <c r="C6" s="12">
        <v>22500</v>
      </c>
      <c r="D6" s="12">
        <v>22500</v>
      </c>
      <c r="E6" s="12">
        <v>22500</v>
      </c>
      <c r="F6" s="12">
        <v>22500</v>
      </c>
      <c r="G6" s="12">
        <v>22500</v>
      </c>
      <c r="H6" s="12">
        <v>22500</v>
      </c>
      <c r="I6" s="12">
        <f>+H6</f>
        <v>22500</v>
      </c>
    </row>
    <row r="7" spans="1:9" x14ac:dyDescent="0.2">
      <c r="A7" s="30"/>
      <c r="B7" s="6" t="s">
        <v>1024</v>
      </c>
      <c r="C7" s="38">
        <f t="shared" ref="C7:G7" si="0">SUM(C6)</f>
        <v>22500</v>
      </c>
      <c r="D7" s="38">
        <f t="shared" si="0"/>
        <v>22500</v>
      </c>
      <c r="E7" s="38">
        <f t="shared" si="0"/>
        <v>22500</v>
      </c>
      <c r="F7" s="38">
        <f t="shared" si="0"/>
        <v>22500</v>
      </c>
      <c r="G7" s="38">
        <f t="shared" si="0"/>
        <v>22500</v>
      </c>
      <c r="H7" s="38">
        <f t="shared" ref="H7:I7" si="1">SUM(H6)</f>
        <v>22500</v>
      </c>
      <c r="I7" s="38">
        <f t="shared" si="1"/>
        <v>22500</v>
      </c>
    </row>
    <row r="8" spans="1:9" x14ac:dyDescent="0.2">
      <c r="A8" s="30"/>
      <c r="C8" s="10"/>
      <c r="D8" s="10"/>
      <c r="E8" s="10"/>
      <c r="F8" s="10"/>
      <c r="G8" s="10"/>
      <c r="H8" s="10"/>
      <c r="I8" s="10"/>
    </row>
    <row r="9" spans="1:9" x14ac:dyDescent="0.2">
      <c r="A9" s="207">
        <v>890.34</v>
      </c>
      <c r="B9" s="4" t="s">
        <v>164</v>
      </c>
      <c r="C9" s="10"/>
      <c r="D9" s="10"/>
      <c r="E9" s="10"/>
      <c r="F9" s="10"/>
      <c r="G9" s="10"/>
      <c r="H9" s="10"/>
      <c r="I9" s="10"/>
    </row>
    <row r="10" spans="1:9" x14ac:dyDescent="0.2">
      <c r="A10" s="31" t="s">
        <v>1222</v>
      </c>
      <c r="B10" s="125" t="s">
        <v>2289</v>
      </c>
      <c r="C10" s="10">
        <v>1773.67</v>
      </c>
      <c r="D10" s="10">
        <v>1905.79</v>
      </c>
      <c r="E10" s="10">
        <v>2139.83</v>
      </c>
      <c r="F10" s="10">
        <v>903.37</v>
      </c>
      <c r="G10" s="10">
        <v>905</v>
      </c>
      <c r="H10" s="10">
        <v>1000</v>
      </c>
      <c r="I10" s="10">
        <v>1000</v>
      </c>
    </row>
    <row r="11" spans="1:9" x14ac:dyDescent="0.2">
      <c r="A11" s="31" t="s">
        <v>1223</v>
      </c>
      <c r="B11" s="125" t="s">
        <v>1868</v>
      </c>
      <c r="C11" s="189">
        <v>0</v>
      </c>
      <c r="D11" s="171">
        <v>0</v>
      </c>
      <c r="E11" s="171">
        <v>0</v>
      </c>
      <c r="F11" s="171">
        <v>0</v>
      </c>
      <c r="G11" s="171">
        <v>0</v>
      </c>
      <c r="H11" s="10">
        <v>0</v>
      </c>
      <c r="I11" s="10">
        <f>+H11</f>
        <v>0</v>
      </c>
    </row>
    <row r="12" spans="1:9" x14ac:dyDescent="0.2">
      <c r="A12" s="31" t="s">
        <v>1769</v>
      </c>
      <c r="B12" s="125" t="s">
        <v>2290</v>
      </c>
      <c r="C12" s="12">
        <v>14000</v>
      </c>
      <c r="D12" s="12">
        <v>13930</v>
      </c>
      <c r="E12" s="12">
        <v>11500</v>
      </c>
      <c r="F12" s="12">
        <v>8000</v>
      </c>
      <c r="G12" s="12">
        <v>10550</v>
      </c>
      <c r="H12" s="10">
        <v>11000</v>
      </c>
      <c r="I12" s="10">
        <f>+H12</f>
        <v>11000</v>
      </c>
    </row>
    <row r="13" spans="1:9" x14ac:dyDescent="0.2">
      <c r="A13" s="30"/>
      <c r="B13" s="6" t="s">
        <v>1024</v>
      </c>
      <c r="C13" s="38">
        <f t="shared" ref="C13:G13" si="2">SUM(C10:C12)</f>
        <v>15773.67</v>
      </c>
      <c r="D13" s="38">
        <f t="shared" si="2"/>
        <v>15835.79</v>
      </c>
      <c r="E13" s="38">
        <f t="shared" si="2"/>
        <v>13639.83</v>
      </c>
      <c r="F13" s="38">
        <f t="shared" si="2"/>
        <v>8903.3700000000008</v>
      </c>
      <c r="G13" s="38">
        <f t="shared" si="2"/>
        <v>11455</v>
      </c>
      <c r="H13" s="38">
        <f t="shared" ref="H13:I13" si="3">SUM(H10:H12)</f>
        <v>12000</v>
      </c>
      <c r="I13" s="38">
        <f t="shared" si="3"/>
        <v>12000</v>
      </c>
    </row>
    <row r="14" spans="1:9" x14ac:dyDescent="0.2">
      <c r="A14" s="30" t="s">
        <v>1433</v>
      </c>
      <c r="C14" s="10"/>
      <c r="D14" s="10"/>
      <c r="E14" s="10"/>
      <c r="F14" s="10"/>
      <c r="G14" s="10"/>
      <c r="H14" s="10"/>
      <c r="I14" s="10"/>
    </row>
    <row r="15" spans="1:9" x14ac:dyDescent="0.2">
      <c r="A15" s="207">
        <v>890.35</v>
      </c>
      <c r="B15" s="4" t="s">
        <v>670</v>
      </c>
      <c r="C15" s="10"/>
      <c r="D15" s="10"/>
      <c r="E15" s="10"/>
      <c r="F15" s="10"/>
      <c r="G15" s="10"/>
      <c r="H15" s="10"/>
      <c r="I15" s="10"/>
    </row>
    <row r="16" spans="1:9" x14ac:dyDescent="0.2">
      <c r="A16" s="30" t="s">
        <v>1225</v>
      </c>
      <c r="B16" s="125" t="s">
        <v>2291</v>
      </c>
      <c r="C16" s="10">
        <v>6754.18</v>
      </c>
      <c r="D16" s="10">
        <v>15505.61</v>
      </c>
      <c r="E16" s="10">
        <v>3881.51</v>
      </c>
      <c r="F16" s="10">
        <v>4358.82</v>
      </c>
      <c r="G16" s="10">
        <v>835.83</v>
      </c>
      <c r="H16" s="10">
        <v>3000</v>
      </c>
      <c r="I16" s="10">
        <f>+H16</f>
        <v>3000</v>
      </c>
    </row>
    <row r="17" spans="1:9" x14ac:dyDescent="0.2">
      <c r="A17" s="31" t="s">
        <v>1224</v>
      </c>
      <c r="B17" s="126" t="s">
        <v>1868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0">
        <v>0</v>
      </c>
      <c r="I17" s="10">
        <f>+H17</f>
        <v>0</v>
      </c>
    </row>
    <row r="18" spans="1:9" x14ac:dyDescent="0.2">
      <c r="A18" s="30"/>
      <c r="B18" s="6" t="s">
        <v>1024</v>
      </c>
      <c r="C18" s="38">
        <f t="shared" ref="C18:G18" si="4">SUM(C16:C17)</f>
        <v>6754.18</v>
      </c>
      <c r="D18" s="38">
        <f t="shared" si="4"/>
        <v>15505.61</v>
      </c>
      <c r="E18" s="38">
        <f t="shared" si="4"/>
        <v>3881.51</v>
      </c>
      <c r="F18" s="38">
        <f t="shared" si="4"/>
        <v>4358.82</v>
      </c>
      <c r="G18" s="38">
        <f t="shared" si="4"/>
        <v>835.83</v>
      </c>
      <c r="H18" s="38">
        <f t="shared" ref="H18:I18" si="5">SUM(H16:H17)</f>
        <v>3000</v>
      </c>
      <c r="I18" s="38">
        <f t="shared" si="5"/>
        <v>3000</v>
      </c>
    </row>
    <row r="19" spans="1:9" x14ac:dyDescent="0.2">
      <c r="A19" s="30"/>
      <c r="C19" s="10"/>
      <c r="D19" s="10"/>
      <c r="E19" s="10"/>
      <c r="F19" s="10"/>
      <c r="G19" s="10"/>
      <c r="H19" s="10"/>
      <c r="I19" s="10"/>
    </row>
    <row r="20" spans="1:9" x14ac:dyDescent="0.2">
      <c r="A20" s="207">
        <v>890.36</v>
      </c>
      <c r="B20" s="20" t="s">
        <v>1582</v>
      </c>
      <c r="C20" s="10"/>
      <c r="D20" s="10"/>
      <c r="E20" s="10"/>
      <c r="F20" s="10"/>
      <c r="G20" s="10"/>
      <c r="H20" s="10"/>
      <c r="I20" s="10"/>
    </row>
    <row r="21" spans="1:9" x14ac:dyDescent="0.2">
      <c r="A21" s="30" t="s">
        <v>1226</v>
      </c>
      <c r="B21" s="125" t="s">
        <v>1761</v>
      </c>
      <c r="C21" s="12">
        <v>1893.81</v>
      </c>
      <c r="D21" s="10">
        <v>1871.45</v>
      </c>
      <c r="E21" s="10">
        <v>1052.54</v>
      </c>
      <c r="F21" s="10">
        <v>440</v>
      </c>
      <c r="G21" s="10">
        <v>908.86</v>
      </c>
      <c r="H21" s="10">
        <v>1000</v>
      </c>
      <c r="I21" s="10">
        <f>+H21</f>
        <v>1000</v>
      </c>
    </row>
    <row r="22" spans="1:9" x14ac:dyDescent="0.2">
      <c r="A22" s="227" t="s">
        <v>2569</v>
      </c>
      <c r="B22" s="126" t="s">
        <v>1868</v>
      </c>
      <c r="C22" s="12">
        <v>0</v>
      </c>
      <c r="D22" s="12">
        <v>0</v>
      </c>
      <c r="E22" s="12">
        <v>0</v>
      </c>
      <c r="F22" s="12">
        <v>0</v>
      </c>
      <c r="G22" s="12">
        <v>25838</v>
      </c>
      <c r="H22" s="10">
        <v>0</v>
      </c>
      <c r="I22" s="10">
        <f>+H22</f>
        <v>0</v>
      </c>
    </row>
    <row r="23" spans="1:9" x14ac:dyDescent="0.2">
      <c r="A23" s="30"/>
      <c r="B23" s="6" t="s">
        <v>1024</v>
      </c>
      <c r="C23" s="38">
        <f t="shared" ref="C23:F23" si="6">SUM(C21)</f>
        <v>1893.81</v>
      </c>
      <c r="D23" s="38">
        <f t="shared" si="6"/>
        <v>1871.45</v>
      </c>
      <c r="E23" s="38">
        <f t="shared" si="6"/>
        <v>1052.54</v>
      </c>
      <c r="F23" s="38">
        <f t="shared" si="6"/>
        <v>440</v>
      </c>
      <c r="G23" s="38">
        <f>SUM(G21:G22)</f>
        <v>26746.86</v>
      </c>
      <c r="H23" s="38">
        <f t="shared" ref="H23:I23" si="7">SUM(H21)</f>
        <v>1000</v>
      </c>
      <c r="I23" s="38">
        <f t="shared" si="7"/>
        <v>1000</v>
      </c>
    </row>
    <row r="24" spans="1:9" x14ac:dyDescent="0.2">
      <c r="A24" s="30"/>
      <c r="C24" s="10"/>
      <c r="D24" s="10"/>
      <c r="E24" s="10"/>
      <c r="F24" s="10"/>
      <c r="G24" s="10"/>
      <c r="H24" s="10"/>
      <c r="I24" s="10"/>
    </row>
    <row r="25" spans="1:9" ht="13.5" thickBot="1" x14ac:dyDescent="0.25">
      <c r="A25" s="30"/>
      <c r="B25" s="6" t="s">
        <v>137</v>
      </c>
      <c r="C25" s="36">
        <f t="shared" ref="C25:G25" si="8">C7+C13+C18+C23</f>
        <v>46921.659999999996</v>
      </c>
      <c r="D25" s="36">
        <f t="shared" si="8"/>
        <v>55712.85</v>
      </c>
      <c r="E25" s="36">
        <f t="shared" si="8"/>
        <v>41073.880000000005</v>
      </c>
      <c r="F25" s="36">
        <f t="shared" si="8"/>
        <v>36202.19</v>
      </c>
      <c r="G25" s="36">
        <f t="shared" si="8"/>
        <v>61537.69</v>
      </c>
      <c r="H25" s="36">
        <f t="shared" ref="H25:I25" si="9">H7+H13+H18+H23</f>
        <v>38500</v>
      </c>
      <c r="I25" s="36">
        <f t="shared" si="9"/>
        <v>38500</v>
      </c>
    </row>
    <row r="26" spans="1:9" ht="13.5" thickTop="1" x14ac:dyDescent="0.2">
      <c r="A26" s="30"/>
      <c r="B26" s="6"/>
      <c r="C26" s="10"/>
      <c r="D26" s="10"/>
      <c r="E26" s="10"/>
      <c r="F26" s="10"/>
      <c r="G26" s="10"/>
      <c r="H26" s="10"/>
      <c r="I26" s="10"/>
    </row>
    <row r="27" spans="1:9" ht="12" customHeight="1" x14ac:dyDescent="0.2">
      <c r="A27" s="16" t="s">
        <v>1433</v>
      </c>
      <c r="B27" s="4" t="s">
        <v>861</v>
      </c>
      <c r="C27" s="10"/>
      <c r="D27" s="10"/>
      <c r="E27" s="10"/>
      <c r="F27" s="10"/>
      <c r="G27" s="10"/>
      <c r="H27" s="10"/>
      <c r="I27" s="10"/>
    </row>
    <row r="28" spans="1:9" ht="12" customHeight="1" x14ac:dyDescent="0.2">
      <c r="A28" s="16"/>
      <c r="B28" s="4"/>
      <c r="C28" s="10"/>
      <c r="D28" s="10"/>
      <c r="E28" s="10"/>
      <c r="F28" s="10"/>
      <c r="G28" s="10"/>
      <c r="H28" s="10"/>
      <c r="I28" s="10"/>
    </row>
    <row r="29" spans="1:9" x14ac:dyDescent="0.2">
      <c r="A29" s="198" t="s">
        <v>20</v>
      </c>
      <c r="B29" s="4" t="s">
        <v>165</v>
      </c>
      <c r="C29" s="10"/>
      <c r="D29" s="10"/>
      <c r="E29" s="10"/>
      <c r="F29" s="10"/>
      <c r="G29" s="10"/>
      <c r="H29" s="10"/>
      <c r="I29" s="10"/>
    </row>
    <row r="30" spans="1:9" x14ac:dyDescent="0.2">
      <c r="A30" s="16" t="s">
        <v>21</v>
      </c>
      <c r="B30" s="126" t="s">
        <v>2292</v>
      </c>
      <c r="C30" s="10">
        <v>2999.88</v>
      </c>
      <c r="D30" s="10">
        <v>1254.25</v>
      </c>
      <c r="E30" s="10">
        <v>0</v>
      </c>
      <c r="F30" s="10">
        <v>5000.0600000000004</v>
      </c>
      <c r="G30" s="10">
        <v>0</v>
      </c>
      <c r="H30" s="10">
        <f t="shared" ref="H30:I36" si="10">+G30</f>
        <v>0</v>
      </c>
      <c r="I30" s="10">
        <f t="shared" si="10"/>
        <v>0</v>
      </c>
    </row>
    <row r="31" spans="1:9" x14ac:dyDescent="0.2">
      <c r="A31" s="16" t="s">
        <v>210</v>
      </c>
      <c r="B31" s="126" t="s">
        <v>2293</v>
      </c>
      <c r="C31" s="10">
        <v>0</v>
      </c>
      <c r="D31" s="10">
        <v>3683.16</v>
      </c>
      <c r="E31" s="10">
        <v>4769.3900000000003</v>
      </c>
      <c r="F31" s="10">
        <v>0</v>
      </c>
      <c r="G31" s="10">
        <v>0</v>
      </c>
      <c r="H31" s="10">
        <f t="shared" si="10"/>
        <v>0</v>
      </c>
      <c r="I31" s="10">
        <f t="shared" si="10"/>
        <v>0</v>
      </c>
    </row>
    <row r="32" spans="1:9" x14ac:dyDescent="0.2">
      <c r="A32" s="16" t="s">
        <v>22</v>
      </c>
      <c r="B32" s="126" t="s">
        <v>1891</v>
      </c>
      <c r="C32" s="10">
        <v>1826.68</v>
      </c>
      <c r="D32" s="10">
        <v>1727.5</v>
      </c>
      <c r="E32" s="10">
        <v>1593.01</v>
      </c>
      <c r="F32" s="10">
        <v>1572.13</v>
      </c>
      <c r="G32" s="10">
        <v>0</v>
      </c>
      <c r="H32" s="10">
        <f t="shared" si="10"/>
        <v>0</v>
      </c>
      <c r="I32" s="10">
        <f t="shared" si="10"/>
        <v>0</v>
      </c>
    </row>
    <row r="33" spans="1:9" x14ac:dyDescent="0.2">
      <c r="A33" s="16" t="s">
        <v>23</v>
      </c>
      <c r="B33" s="126" t="s">
        <v>1895</v>
      </c>
      <c r="C33" s="10">
        <v>0</v>
      </c>
      <c r="D33" s="10">
        <v>15.88</v>
      </c>
      <c r="E33" s="10">
        <v>160.71</v>
      </c>
      <c r="F33" s="10">
        <v>104.88</v>
      </c>
      <c r="G33" s="10">
        <v>0</v>
      </c>
      <c r="H33" s="10">
        <f t="shared" si="10"/>
        <v>0</v>
      </c>
      <c r="I33" s="10">
        <f t="shared" si="10"/>
        <v>0</v>
      </c>
    </row>
    <row r="34" spans="1:9" x14ac:dyDescent="0.2">
      <c r="A34" s="16" t="s">
        <v>24</v>
      </c>
      <c r="B34" s="126" t="s">
        <v>1898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f t="shared" si="10"/>
        <v>0</v>
      </c>
      <c r="I34" s="10">
        <f t="shared" si="10"/>
        <v>0</v>
      </c>
    </row>
    <row r="35" spans="1:9" x14ac:dyDescent="0.2">
      <c r="A35" s="16" t="s">
        <v>25</v>
      </c>
      <c r="B35" s="126" t="s">
        <v>1878</v>
      </c>
      <c r="C35" s="10">
        <v>4081.34</v>
      </c>
      <c r="D35" s="10">
        <v>7283.87</v>
      </c>
      <c r="E35" s="10">
        <v>2506.04</v>
      </c>
      <c r="F35" s="10">
        <v>2950.06</v>
      </c>
      <c r="G35" s="10">
        <v>0</v>
      </c>
      <c r="H35" s="10">
        <f t="shared" si="10"/>
        <v>0</v>
      </c>
      <c r="I35" s="10">
        <f t="shared" si="10"/>
        <v>0</v>
      </c>
    </row>
    <row r="36" spans="1:9" x14ac:dyDescent="0.2">
      <c r="A36" s="16" t="s">
        <v>26</v>
      </c>
      <c r="B36" s="126" t="s">
        <v>1900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0">
        <f t="shared" si="10"/>
        <v>0</v>
      </c>
      <c r="I36" s="10">
        <f t="shared" si="10"/>
        <v>0</v>
      </c>
    </row>
    <row r="37" spans="1:9" x14ac:dyDescent="0.2">
      <c r="A37" s="16"/>
      <c r="B37" s="6" t="s">
        <v>1024</v>
      </c>
      <c r="C37" s="38">
        <f t="shared" ref="C37:G37" si="11">SUM(C30:C36)</f>
        <v>8907.9000000000015</v>
      </c>
      <c r="D37" s="38">
        <f t="shared" si="11"/>
        <v>13964.66</v>
      </c>
      <c r="E37" s="38">
        <f t="shared" si="11"/>
        <v>9029.1500000000015</v>
      </c>
      <c r="F37" s="38">
        <f t="shared" si="11"/>
        <v>9627.130000000001</v>
      </c>
      <c r="G37" s="38">
        <f t="shared" si="11"/>
        <v>0</v>
      </c>
      <c r="H37" s="38">
        <f t="shared" ref="H37:I37" si="12">SUM(H30:H36)</f>
        <v>0</v>
      </c>
      <c r="I37" s="38">
        <f t="shared" si="12"/>
        <v>0</v>
      </c>
    </row>
    <row r="38" spans="1:9" x14ac:dyDescent="0.2">
      <c r="A38" s="16"/>
      <c r="B38" s="6"/>
      <c r="C38" s="10"/>
      <c r="D38" s="10"/>
      <c r="E38" s="10"/>
      <c r="F38" s="10"/>
      <c r="G38" s="10"/>
      <c r="H38" s="10"/>
      <c r="I38" s="10"/>
    </row>
    <row r="39" spans="1:9" x14ac:dyDescent="0.2">
      <c r="A39" s="198" t="s">
        <v>27</v>
      </c>
      <c r="B39" s="4" t="s">
        <v>166</v>
      </c>
      <c r="C39" s="10"/>
      <c r="D39" s="10"/>
      <c r="E39" s="10"/>
      <c r="F39" s="10"/>
      <c r="G39" s="10"/>
      <c r="H39" s="10"/>
      <c r="I39" s="10"/>
    </row>
    <row r="40" spans="1:9" x14ac:dyDescent="0.2">
      <c r="A40" s="35" t="s">
        <v>2369</v>
      </c>
      <c r="B40" s="126" t="s">
        <v>2292</v>
      </c>
      <c r="C40" s="10">
        <v>0</v>
      </c>
      <c r="D40" s="10">
        <v>0</v>
      </c>
      <c r="E40" s="10">
        <v>7346.21</v>
      </c>
      <c r="F40" s="10">
        <v>7499.96</v>
      </c>
      <c r="G40" s="10">
        <v>12740.41</v>
      </c>
      <c r="H40" s="10">
        <v>12500</v>
      </c>
      <c r="I40" s="10">
        <v>0</v>
      </c>
    </row>
    <row r="41" spans="1:9" x14ac:dyDescent="0.2">
      <c r="A41" s="35" t="s">
        <v>2387</v>
      </c>
      <c r="B41" s="126" t="s">
        <v>1891</v>
      </c>
      <c r="C41" s="10">
        <v>0</v>
      </c>
      <c r="D41" s="10">
        <v>0</v>
      </c>
      <c r="E41" s="10">
        <v>0</v>
      </c>
      <c r="F41" s="10">
        <v>0</v>
      </c>
      <c r="G41" s="10">
        <v>1626.01</v>
      </c>
      <c r="H41" s="10">
        <v>2500</v>
      </c>
      <c r="I41" s="10">
        <v>0</v>
      </c>
    </row>
    <row r="42" spans="1:9" x14ac:dyDescent="0.2">
      <c r="A42" s="16" t="s">
        <v>28</v>
      </c>
      <c r="B42" s="126" t="s">
        <v>1895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1000</v>
      </c>
      <c r="I42" s="10">
        <v>7000</v>
      </c>
    </row>
    <row r="43" spans="1:9" x14ac:dyDescent="0.2">
      <c r="A43" s="16" t="s">
        <v>29</v>
      </c>
      <c r="B43" s="126" t="s">
        <v>1878</v>
      </c>
      <c r="C43" s="10">
        <v>13796.39</v>
      </c>
      <c r="D43" s="10">
        <v>25628.12</v>
      </c>
      <c r="E43" s="10">
        <v>3983.49</v>
      </c>
      <c r="F43" s="10">
        <v>7210.03</v>
      </c>
      <c r="G43" s="10">
        <v>12244.37</v>
      </c>
      <c r="H43" s="10">
        <v>13000</v>
      </c>
      <c r="I43" s="10">
        <f t="shared" ref="H43:I46" si="13">+H43</f>
        <v>13000</v>
      </c>
    </row>
    <row r="44" spans="1:9" x14ac:dyDescent="0.2">
      <c r="A44" s="16" t="s">
        <v>31</v>
      </c>
      <c r="B44" s="126" t="s">
        <v>1900</v>
      </c>
      <c r="C44" s="10">
        <v>0</v>
      </c>
      <c r="D44" s="10">
        <v>0</v>
      </c>
      <c r="E44" s="10">
        <v>0</v>
      </c>
      <c r="F44" s="10">
        <v>1294</v>
      </c>
      <c r="G44" s="10">
        <v>0</v>
      </c>
      <c r="H44" s="10">
        <f t="shared" si="13"/>
        <v>0</v>
      </c>
      <c r="I44" s="10">
        <v>2000</v>
      </c>
    </row>
    <row r="45" spans="1:9" x14ac:dyDescent="0.2">
      <c r="A45" s="16" t="s">
        <v>32</v>
      </c>
      <c r="B45" s="126" t="s">
        <v>2000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f t="shared" si="13"/>
        <v>0</v>
      </c>
      <c r="I45" s="10">
        <f t="shared" si="13"/>
        <v>0</v>
      </c>
    </row>
    <row r="46" spans="1:9" x14ac:dyDescent="0.2">
      <c r="A46" s="16" t="s">
        <v>30</v>
      </c>
      <c r="B46" s="126" t="s">
        <v>2294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f t="shared" si="13"/>
        <v>0</v>
      </c>
      <c r="I46" s="10">
        <f t="shared" si="13"/>
        <v>0</v>
      </c>
    </row>
    <row r="47" spans="1:9" x14ac:dyDescent="0.2">
      <c r="A47" s="16"/>
      <c r="B47" s="6" t="s">
        <v>1024</v>
      </c>
      <c r="C47" s="38">
        <f>SUM(C42:C46)</f>
        <v>13796.39</v>
      </c>
      <c r="D47" s="38">
        <f>SUM(D42:D46)</f>
        <v>25628.12</v>
      </c>
      <c r="E47" s="38">
        <f>SUM(E40:E46)</f>
        <v>11329.7</v>
      </c>
      <c r="F47" s="38">
        <f>SUM(F40:F46)</f>
        <v>16003.99</v>
      </c>
      <c r="G47" s="38">
        <f>SUM(G40:G46)</f>
        <v>26610.79</v>
      </c>
      <c r="H47" s="38">
        <f>SUM(H40:H46)</f>
        <v>29000</v>
      </c>
      <c r="I47" s="38">
        <f>SUM(I40:I46)</f>
        <v>22000</v>
      </c>
    </row>
    <row r="48" spans="1:9" x14ac:dyDescent="0.2">
      <c r="A48" s="16"/>
      <c r="B48" s="6"/>
      <c r="C48" s="10"/>
      <c r="D48" s="10"/>
      <c r="E48" s="10"/>
      <c r="F48" s="10"/>
      <c r="G48" s="10"/>
      <c r="H48" s="10"/>
      <c r="I48" s="10"/>
    </row>
    <row r="49" spans="1:9" x14ac:dyDescent="0.2">
      <c r="A49" s="198" t="s">
        <v>291</v>
      </c>
      <c r="B49" s="4" t="s">
        <v>167</v>
      </c>
      <c r="C49" s="10"/>
      <c r="D49" s="10"/>
      <c r="E49" s="10"/>
      <c r="F49" s="10"/>
      <c r="G49" s="10"/>
      <c r="H49" s="10"/>
      <c r="I49" s="10"/>
    </row>
    <row r="50" spans="1:9" x14ac:dyDescent="0.2">
      <c r="A50" s="16" t="s">
        <v>292</v>
      </c>
      <c r="B50" s="126" t="s">
        <v>2158</v>
      </c>
      <c r="C50" s="10">
        <v>22500</v>
      </c>
      <c r="D50" s="10">
        <v>22500</v>
      </c>
      <c r="E50" s="10">
        <v>22499.62</v>
      </c>
      <c r="F50" s="10">
        <v>22500.14</v>
      </c>
      <c r="G50" s="10">
        <v>22932.84</v>
      </c>
      <c r="H50" s="10">
        <v>22500</v>
      </c>
      <c r="I50" s="10">
        <f t="shared" ref="H50:I53" si="14">+H50</f>
        <v>22500</v>
      </c>
    </row>
    <row r="51" spans="1:9" x14ac:dyDescent="0.2">
      <c r="A51" s="16" t="s">
        <v>308</v>
      </c>
      <c r="B51" s="126" t="s">
        <v>1891</v>
      </c>
      <c r="C51" s="10">
        <v>0</v>
      </c>
      <c r="D51" s="10">
        <v>0</v>
      </c>
      <c r="E51" s="10">
        <v>0</v>
      </c>
      <c r="F51" s="10">
        <v>0</v>
      </c>
      <c r="G51" s="10">
        <v>31.28</v>
      </c>
      <c r="H51" s="10">
        <v>0</v>
      </c>
      <c r="I51" s="10">
        <f t="shared" si="14"/>
        <v>0</v>
      </c>
    </row>
    <row r="52" spans="1:9" x14ac:dyDescent="0.2">
      <c r="A52" s="16" t="s">
        <v>309</v>
      </c>
      <c r="B52" s="126" t="s">
        <v>1892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f t="shared" si="14"/>
        <v>0</v>
      </c>
      <c r="I52" s="10">
        <f t="shared" si="14"/>
        <v>0</v>
      </c>
    </row>
    <row r="53" spans="1:9" x14ac:dyDescent="0.2">
      <c r="A53" s="16" t="s">
        <v>310</v>
      </c>
      <c r="B53" s="126" t="s">
        <v>1893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f t="shared" si="14"/>
        <v>0</v>
      </c>
      <c r="I53" s="10">
        <f t="shared" si="14"/>
        <v>0</v>
      </c>
    </row>
    <row r="54" spans="1:9" x14ac:dyDescent="0.2">
      <c r="A54" s="16" t="s">
        <v>1433</v>
      </c>
      <c r="B54" s="6" t="s">
        <v>1024</v>
      </c>
      <c r="C54" s="38">
        <f t="shared" ref="C54:G54" si="15">SUM(C50:C53)</f>
        <v>22500</v>
      </c>
      <c r="D54" s="38">
        <f t="shared" si="15"/>
        <v>22500</v>
      </c>
      <c r="E54" s="38">
        <f t="shared" si="15"/>
        <v>22499.62</v>
      </c>
      <c r="F54" s="38">
        <f t="shared" si="15"/>
        <v>22500.14</v>
      </c>
      <c r="G54" s="38">
        <f t="shared" si="15"/>
        <v>22964.12</v>
      </c>
      <c r="H54" s="38">
        <f t="shared" ref="H54:I54" si="16">SUM(H50:H53)</f>
        <v>22500</v>
      </c>
      <c r="I54" s="38">
        <f t="shared" si="16"/>
        <v>22500</v>
      </c>
    </row>
    <row r="55" spans="1:9" x14ac:dyDescent="0.2">
      <c r="A55" s="16"/>
      <c r="B55" s="6"/>
      <c r="C55" s="127"/>
      <c r="D55" s="127"/>
      <c r="E55" s="127"/>
      <c r="F55" s="127"/>
      <c r="G55" s="127"/>
      <c r="H55" s="127"/>
      <c r="I55" s="127"/>
    </row>
    <row r="56" spans="1:9" x14ac:dyDescent="0.2">
      <c r="A56" s="198" t="s">
        <v>1805</v>
      </c>
      <c r="B56" s="4" t="s">
        <v>1806</v>
      </c>
      <c r="C56" s="10"/>
      <c r="D56" s="10"/>
      <c r="E56" s="10"/>
      <c r="F56" s="10"/>
      <c r="G56" s="10"/>
      <c r="H56" s="10"/>
      <c r="I56" s="10"/>
    </row>
    <row r="57" spans="1:9" x14ac:dyDescent="0.2">
      <c r="A57" s="16" t="s">
        <v>2398</v>
      </c>
      <c r="B57" s="126" t="s">
        <v>2293</v>
      </c>
      <c r="C57" s="10">
        <v>0</v>
      </c>
      <c r="D57" s="10">
        <v>0</v>
      </c>
      <c r="E57" s="10">
        <v>0</v>
      </c>
      <c r="F57" s="10">
        <v>0</v>
      </c>
      <c r="G57" s="10">
        <v>7211.52</v>
      </c>
      <c r="H57" s="10">
        <v>11000</v>
      </c>
      <c r="I57" s="10">
        <v>10500</v>
      </c>
    </row>
    <row r="58" spans="1:9" x14ac:dyDescent="0.2">
      <c r="A58" s="16" t="s">
        <v>2613</v>
      </c>
      <c r="B58" s="126" t="s">
        <v>1891</v>
      </c>
      <c r="C58" s="10">
        <v>0</v>
      </c>
      <c r="D58" s="10">
        <v>0</v>
      </c>
      <c r="E58" s="10">
        <v>0</v>
      </c>
      <c r="F58" s="10">
        <v>0</v>
      </c>
      <c r="G58" s="10">
        <v>5.89</v>
      </c>
      <c r="H58" s="10"/>
      <c r="I58" s="10"/>
    </row>
    <row r="59" spans="1:9" x14ac:dyDescent="0.2">
      <c r="A59" s="35" t="s">
        <v>1807</v>
      </c>
      <c r="B59" s="126" t="s">
        <v>2295</v>
      </c>
      <c r="C59" s="10">
        <v>0</v>
      </c>
      <c r="D59" s="10">
        <v>0</v>
      </c>
      <c r="E59" s="10">
        <v>0</v>
      </c>
      <c r="F59" s="10">
        <v>0</v>
      </c>
      <c r="G59" s="10">
        <v>1217.96</v>
      </c>
      <c r="H59" s="10">
        <v>9000</v>
      </c>
      <c r="I59" s="10">
        <f t="shared" ref="I59" si="17">+H59</f>
        <v>9000</v>
      </c>
    </row>
    <row r="60" spans="1:9" x14ac:dyDescent="0.2">
      <c r="A60" s="16" t="s">
        <v>1433</v>
      </c>
      <c r="B60" s="6" t="s">
        <v>1024</v>
      </c>
      <c r="C60" s="38">
        <f>SUM(C57:C59)</f>
        <v>0</v>
      </c>
      <c r="D60" s="38">
        <f t="shared" ref="D60:G60" si="18">SUM(D57:D59)</f>
        <v>0</v>
      </c>
      <c r="E60" s="38">
        <f t="shared" si="18"/>
        <v>0</v>
      </c>
      <c r="F60" s="38">
        <f t="shared" si="18"/>
        <v>0</v>
      </c>
      <c r="G60" s="38">
        <f t="shared" si="18"/>
        <v>8435.3700000000008</v>
      </c>
      <c r="H60" s="38">
        <f t="shared" ref="H60:I60" si="19">SUM(H57:H59)</f>
        <v>20000</v>
      </c>
      <c r="I60" s="38">
        <f t="shared" si="19"/>
        <v>19500</v>
      </c>
    </row>
    <row r="61" spans="1:9" x14ac:dyDescent="0.2">
      <c r="A61" s="16"/>
      <c r="B61" s="6"/>
      <c r="C61" s="127"/>
      <c r="D61" s="127"/>
      <c r="E61" s="127"/>
      <c r="F61" s="127"/>
      <c r="G61" s="127"/>
      <c r="H61" s="127"/>
      <c r="I61" s="127"/>
    </row>
    <row r="62" spans="1:9" ht="13.5" thickBot="1" x14ac:dyDescent="0.25">
      <c r="A62" s="16"/>
      <c r="B62" s="6" t="s">
        <v>1341</v>
      </c>
      <c r="C62" s="135">
        <f>C37+C47+C54</f>
        <v>45204.29</v>
      </c>
      <c r="D62" s="135">
        <f>D37+D47+D54</f>
        <v>62092.78</v>
      </c>
      <c r="E62" s="135">
        <f>E37+E47+E54+E60</f>
        <v>42858.47</v>
      </c>
      <c r="F62" s="135">
        <f>F37+F47+F54+F60</f>
        <v>48131.26</v>
      </c>
      <c r="G62" s="135">
        <f>G37+G47+G54+G60</f>
        <v>58010.280000000006</v>
      </c>
      <c r="H62" s="135">
        <f>H37+H47+H54+H60</f>
        <v>71500</v>
      </c>
      <c r="I62" s="135">
        <f>I37+I47+I54+I60</f>
        <v>64000</v>
      </c>
    </row>
    <row r="63" spans="1:9" ht="13.5" thickTop="1" x14ac:dyDescent="0.2">
      <c r="A63" s="16"/>
      <c r="B63" s="6"/>
      <c r="C63" s="10"/>
      <c r="D63" s="10"/>
      <c r="E63" s="10"/>
      <c r="F63" s="10"/>
      <c r="G63" s="10"/>
      <c r="H63" s="10"/>
      <c r="I63" s="10"/>
    </row>
    <row r="64" spans="1:9" x14ac:dyDescent="0.2">
      <c r="A64" s="16"/>
      <c r="B64" s="4" t="s">
        <v>653</v>
      </c>
      <c r="C64" s="10"/>
      <c r="D64" s="10"/>
      <c r="E64" s="10"/>
      <c r="F64" s="10"/>
      <c r="G64" s="10"/>
      <c r="H64" s="10"/>
      <c r="I64" s="10"/>
    </row>
    <row r="65" spans="1:9" x14ac:dyDescent="0.2">
      <c r="A65" s="16"/>
      <c r="B65" s="4" t="s">
        <v>19</v>
      </c>
      <c r="C65" s="10"/>
      <c r="D65" s="10"/>
      <c r="E65" s="10"/>
      <c r="F65" s="10"/>
      <c r="G65" s="10"/>
      <c r="H65" s="10"/>
      <c r="I65" s="10"/>
    </row>
    <row r="66" spans="1:9" x14ac:dyDescent="0.2">
      <c r="A66" s="16"/>
      <c r="B66" s="4" t="s">
        <v>1343</v>
      </c>
      <c r="C66" s="10"/>
      <c r="D66" s="10"/>
      <c r="E66" s="10"/>
      <c r="F66" s="10"/>
      <c r="G66" s="10"/>
      <c r="H66" s="10"/>
      <c r="I66" s="10"/>
    </row>
    <row r="67" spans="1:9" x14ac:dyDescent="0.2">
      <c r="A67" s="16"/>
      <c r="C67" s="129" t="str">
        <f t="shared" ref="C67:G67" si="20">+C4</f>
        <v>2018 ACTUAL</v>
      </c>
      <c r="D67" s="129" t="str">
        <f t="shared" si="20"/>
        <v>2019 ACTUAL</v>
      </c>
      <c r="E67" s="129" t="str">
        <f t="shared" si="20"/>
        <v>2020 ACTUAL</v>
      </c>
      <c r="F67" s="129" t="str">
        <f t="shared" si="20"/>
        <v>2021 ACTUAL</v>
      </c>
      <c r="G67" s="129" t="str">
        <f t="shared" si="20"/>
        <v>2022 ACTUAL</v>
      </c>
      <c r="H67" s="129" t="str">
        <f t="shared" ref="H67:I67" si="21">+H4</f>
        <v xml:space="preserve">2023 BUDGET </v>
      </c>
      <c r="I67" s="129" t="str">
        <f t="shared" si="21"/>
        <v xml:space="preserve">2024 BUDGET </v>
      </c>
    </row>
    <row r="68" spans="1:9" x14ac:dyDescent="0.2">
      <c r="A68" s="16"/>
      <c r="B68" t="s">
        <v>1344</v>
      </c>
      <c r="C68" s="10">
        <v>212654.25</v>
      </c>
      <c r="D68" s="10">
        <f t="shared" ref="D68:I68" si="22">C76</f>
        <v>214371.62</v>
      </c>
      <c r="E68" s="10">
        <f t="shared" si="22"/>
        <v>207991.68999999997</v>
      </c>
      <c r="F68" s="10">
        <f t="shared" si="22"/>
        <v>206207.09999999998</v>
      </c>
      <c r="G68" s="10">
        <f t="shared" si="22"/>
        <v>194278.02999999997</v>
      </c>
      <c r="H68" s="10">
        <f t="shared" si="22"/>
        <v>197805.43999999997</v>
      </c>
      <c r="I68" s="10">
        <f t="shared" si="22"/>
        <v>164805.43999999997</v>
      </c>
    </row>
    <row r="69" spans="1:9" x14ac:dyDescent="0.2">
      <c r="A69" s="16"/>
      <c r="C69" s="10"/>
      <c r="D69" s="10"/>
      <c r="E69" s="10"/>
      <c r="F69" s="10"/>
      <c r="G69" s="10"/>
      <c r="H69" s="10"/>
      <c r="I69" s="10"/>
    </row>
    <row r="70" spans="1:9" x14ac:dyDescent="0.2">
      <c r="A70" s="16"/>
      <c r="B70" t="s">
        <v>113</v>
      </c>
      <c r="C70" s="10">
        <f t="shared" ref="C70:G70" si="23">C25</f>
        <v>46921.659999999996</v>
      </c>
      <c r="D70" s="10">
        <f t="shared" si="23"/>
        <v>55712.85</v>
      </c>
      <c r="E70" s="10">
        <f t="shared" si="23"/>
        <v>41073.880000000005</v>
      </c>
      <c r="F70" s="10">
        <f t="shared" si="23"/>
        <v>36202.19</v>
      </c>
      <c r="G70" s="10">
        <f t="shared" si="23"/>
        <v>61537.69</v>
      </c>
      <c r="H70" s="10">
        <f t="shared" ref="H70:I70" si="24">H25</f>
        <v>38500</v>
      </c>
      <c r="I70" s="10">
        <f t="shared" si="24"/>
        <v>38500</v>
      </c>
    </row>
    <row r="71" spans="1:9" x14ac:dyDescent="0.2">
      <c r="A71" s="16"/>
      <c r="C71" s="10"/>
      <c r="D71" s="10"/>
      <c r="E71" s="10"/>
      <c r="F71" s="10"/>
      <c r="G71" s="10"/>
      <c r="H71" s="10"/>
      <c r="I71" s="10"/>
    </row>
    <row r="72" spans="1:9" x14ac:dyDescent="0.2">
      <c r="A72" s="16"/>
      <c r="B72" t="s">
        <v>1427</v>
      </c>
      <c r="C72" s="10">
        <f t="shared" ref="C72:G72" si="25">C62</f>
        <v>45204.29</v>
      </c>
      <c r="D72" s="10">
        <f t="shared" si="25"/>
        <v>62092.78</v>
      </c>
      <c r="E72" s="10">
        <f t="shared" si="25"/>
        <v>42858.47</v>
      </c>
      <c r="F72" s="10">
        <f t="shared" si="25"/>
        <v>48131.26</v>
      </c>
      <c r="G72" s="10">
        <f t="shared" si="25"/>
        <v>58010.280000000006</v>
      </c>
      <c r="H72" s="10">
        <f t="shared" ref="H72:I72" si="26">H62</f>
        <v>71500</v>
      </c>
      <c r="I72" s="10">
        <f t="shared" si="26"/>
        <v>64000</v>
      </c>
    </row>
    <row r="73" spans="1:9" x14ac:dyDescent="0.2">
      <c r="A73" s="16"/>
      <c r="C73" s="10"/>
      <c r="D73" s="10"/>
      <c r="E73" s="10"/>
      <c r="F73" s="10"/>
      <c r="G73" s="10"/>
      <c r="H73" s="10"/>
      <c r="I73" s="10"/>
    </row>
    <row r="74" spans="1:9" x14ac:dyDescent="0.2">
      <c r="A74" s="16"/>
      <c r="B74" t="s">
        <v>1140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</row>
    <row r="75" spans="1:9" x14ac:dyDescent="0.2">
      <c r="A75" s="16"/>
      <c r="C75" s="10"/>
      <c r="D75" s="10"/>
      <c r="E75" s="10"/>
      <c r="F75" s="10"/>
      <c r="G75" s="10"/>
      <c r="H75" s="10"/>
      <c r="I75" s="10"/>
    </row>
    <row r="76" spans="1:9" ht="13.5" thickBot="1" x14ac:dyDescent="0.25">
      <c r="A76" s="16"/>
      <c r="B76" t="s">
        <v>1348</v>
      </c>
      <c r="C76" s="36">
        <f t="shared" ref="C76:G76" si="27">C68+C70-C72+C74</f>
        <v>214371.62</v>
      </c>
      <c r="D76" s="36">
        <f t="shared" si="27"/>
        <v>207991.68999999997</v>
      </c>
      <c r="E76" s="36">
        <f t="shared" si="27"/>
        <v>206207.09999999998</v>
      </c>
      <c r="F76" s="36">
        <f t="shared" si="27"/>
        <v>194278.02999999997</v>
      </c>
      <c r="G76" s="36">
        <f t="shared" si="27"/>
        <v>197805.43999999997</v>
      </c>
      <c r="H76" s="36">
        <f t="shared" ref="H76:I76" si="28">H68+H70-H72+H74</f>
        <v>164805.43999999997</v>
      </c>
      <c r="I76" s="36">
        <f t="shared" si="28"/>
        <v>139305.43999999997</v>
      </c>
    </row>
    <row r="77" spans="1:9" ht="13.5" thickTop="1" x14ac:dyDescent="0.2">
      <c r="A77" s="30"/>
    </row>
    <row r="78" spans="1:9" x14ac:dyDescent="0.2">
      <c r="C78" s="9"/>
      <c r="E78" s="120"/>
    </row>
    <row r="79" spans="1:9" x14ac:dyDescent="0.2">
      <c r="C79" s="9"/>
      <c r="D79" s="9"/>
    </row>
    <row r="152" spans="3:7" x14ac:dyDescent="0.2">
      <c r="C152" s="9"/>
      <c r="D152" s="9"/>
      <c r="E152" s="9"/>
      <c r="F152" s="9"/>
      <c r="G152" s="9"/>
    </row>
  </sheetData>
  <phoneticPr fontId="2" type="noConversion"/>
  <pageMargins left="0.5" right="0.5" top="1" bottom="1" header="0.5" footer="0.5"/>
  <pageSetup scale="80" firstPageNumber="63" fitToWidth="0" fitToHeight="0" orientation="portrait" useFirstPageNumber="1" r:id="rId1"/>
  <headerFooter alignWithMargins="0">
    <oddFooter>&amp;C&amp;P</oddFooter>
  </headerFooter>
  <rowBreaks count="1" manualBreakCount="1">
    <brk id="63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/>
  <dimension ref="A1:L60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7109375" hidden="1" customWidth="1"/>
    <col min="4" max="4" width="14.7109375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style="100" customWidth="1"/>
    <col min="12" max="12" width="14.7109375" customWidth="1"/>
  </cols>
  <sheetData>
    <row r="1" spans="1:10" x14ac:dyDescent="0.2">
      <c r="A1" s="4" t="s">
        <v>1433</v>
      </c>
      <c r="B1" s="32"/>
    </row>
    <row r="2" spans="1:10" x14ac:dyDescent="0.2">
      <c r="A2" s="4" t="s">
        <v>9</v>
      </c>
      <c r="B2" s="32"/>
    </row>
    <row r="3" spans="1:10" x14ac:dyDescent="0.2">
      <c r="A3" s="4"/>
      <c r="B3" s="32"/>
    </row>
    <row r="4" spans="1:10" ht="7.5" customHeight="1" x14ac:dyDescent="0.2">
      <c r="A4" s="4"/>
      <c r="B4" s="32"/>
    </row>
    <row r="5" spans="1:10" x14ac:dyDescent="0.2">
      <c r="A5" s="4" t="s">
        <v>168</v>
      </c>
      <c r="B5" s="1" t="s">
        <v>169</v>
      </c>
      <c r="D5" s="1" t="s">
        <v>2437</v>
      </c>
      <c r="E5" s="1" t="s">
        <v>2584</v>
      </c>
      <c r="F5" s="1" t="s">
        <v>170</v>
      </c>
    </row>
    <row r="6" spans="1:10" x14ac:dyDescent="0.2">
      <c r="A6" t="s">
        <v>427</v>
      </c>
      <c r="B6" s="32">
        <v>100</v>
      </c>
      <c r="D6" s="10">
        <f>'100-Genl'!H119</f>
        <v>23700103.399999999</v>
      </c>
      <c r="E6" s="10">
        <f>'100-Genl'!I119</f>
        <v>28091250.399243839</v>
      </c>
      <c r="F6" s="10">
        <f>E6-D6</f>
        <v>4391146.9992438406</v>
      </c>
      <c r="J6" s="10"/>
    </row>
    <row r="7" spans="1:10" x14ac:dyDescent="0.2">
      <c r="A7" t="s">
        <v>428</v>
      </c>
      <c r="B7" s="32">
        <v>110</v>
      </c>
      <c r="C7" s="10"/>
      <c r="D7" s="10">
        <f>'110-Jury'!H13</f>
        <v>228837.47536692323</v>
      </c>
      <c r="E7" s="10">
        <f>'110-Jury'!I13</f>
        <v>205500.13166447607</v>
      </c>
      <c r="F7" s="10">
        <f t="shared" ref="F7:F18" si="0">E7-D7</f>
        <v>-23337.343702447164</v>
      </c>
      <c r="J7" s="10"/>
    </row>
    <row r="8" spans="1:10" x14ac:dyDescent="0.2">
      <c r="A8" s="23" t="s">
        <v>1772</v>
      </c>
      <c r="B8" s="32">
        <v>130</v>
      </c>
      <c r="C8" s="10"/>
      <c r="D8" s="10">
        <f>+'130-Protested Ppty Tax'!H9</f>
        <v>0</v>
      </c>
      <c r="E8" s="10">
        <f>+'130-Protested Ppty Tax'!I9</f>
        <v>0</v>
      </c>
      <c r="F8" s="10">
        <f t="shared" si="0"/>
        <v>0</v>
      </c>
      <c r="J8" s="10"/>
    </row>
    <row r="9" spans="1:10" x14ac:dyDescent="0.2">
      <c r="A9" t="s">
        <v>429</v>
      </c>
      <c r="B9" s="32">
        <v>140</v>
      </c>
      <c r="C9" s="10"/>
      <c r="D9" s="10">
        <f>'140-R &amp; B'!H51</f>
        <v>5981205.7696550023</v>
      </c>
      <c r="E9" s="10">
        <f>'140-R &amp; B'!I51</f>
        <v>7504103.4232763778</v>
      </c>
      <c r="F9" s="10">
        <f t="shared" si="0"/>
        <v>1522897.6536213756</v>
      </c>
      <c r="J9" s="10"/>
    </row>
    <row r="10" spans="1:10" x14ac:dyDescent="0.2">
      <c r="A10" t="s">
        <v>834</v>
      </c>
      <c r="B10" s="32">
        <v>180</v>
      </c>
      <c r="C10" s="10"/>
      <c r="D10" s="10">
        <f>'180-Emer Mgm'!H11</f>
        <v>5</v>
      </c>
      <c r="E10" s="10">
        <f>'180-Emer Mgm'!I11</f>
        <v>5</v>
      </c>
      <c r="F10" s="10">
        <f t="shared" si="0"/>
        <v>0</v>
      </c>
      <c r="H10" s="10"/>
      <c r="J10" s="10"/>
    </row>
    <row r="11" spans="1:10" x14ac:dyDescent="0.2">
      <c r="A11" s="39" t="s">
        <v>1813</v>
      </c>
      <c r="B11" s="32">
        <v>240</v>
      </c>
      <c r="C11" s="10"/>
      <c r="D11" s="10">
        <f>+'240-Airport'!H21</f>
        <v>340242.41556277405</v>
      </c>
      <c r="E11" s="10">
        <f>+'240-Airport'!I21</f>
        <v>373166.75005416817</v>
      </c>
      <c r="F11" s="10">
        <f t="shared" si="0"/>
        <v>32924.334491394111</v>
      </c>
      <c r="H11" s="10"/>
      <c r="J11" s="10"/>
    </row>
    <row r="12" spans="1:10" x14ac:dyDescent="0.2">
      <c r="A12" t="s">
        <v>1727</v>
      </c>
      <c r="B12" s="32">
        <v>280</v>
      </c>
      <c r="C12" s="10"/>
      <c r="D12" s="10">
        <f>'280-Capital Murder'!H9</f>
        <v>50</v>
      </c>
      <c r="E12" s="10">
        <f>'280-Capital Murder'!I9</f>
        <v>1000</v>
      </c>
      <c r="F12" s="10">
        <f t="shared" si="0"/>
        <v>950</v>
      </c>
      <c r="H12" s="10"/>
      <c r="J12" s="10"/>
    </row>
    <row r="13" spans="1:10" x14ac:dyDescent="0.2">
      <c r="A13" t="s">
        <v>430</v>
      </c>
      <c r="B13" s="32">
        <v>450</v>
      </c>
      <c r="C13" s="10"/>
      <c r="D13" s="10">
        <f>'450-Juv Svcs'!H33</f>
        <v>1361826.4424137506</v>
      </c>
      <c r="E13" s="10">
        <f>'450-Juv Svcs'!I33</f>
        <v>1571967.5663739198</v>
      </c>
      <c r="F13" s="10">
        <f t="shared" si="0"/>
        <v>210141.12396016927</v>
      </c>
      <c r="J13" s="10"/>
    </row>
    <row r="14" spans="1:10" hidden="1" x14ac:dyDescent="0.2">
      <c r="A14" t="s">
        <v>431</v>
      </c>
      <c r="B14" s="32">
        <v>470</v>
      </c>
      <c r="C14" s="10"/>
      <c r="D14" s="10">
        <f>'470-Boot Camp'!F13</f>
        <v>0</v>
      </c>
      <c r="E14" s="10">
        <f>'470-Boot Camp'!G13</f>
        <v>0</v>
      </c>
      <c r="F14" s="10">
        <f t="shared" si="0"/>
        <v>0</v>
      </c>
      <c r="J14" s="10"/>
    </row>
    <row r="15" spans="1:10" x14ac:dyDescent="0.2">
      <c r="A15" t="s">
        <v>1158</v>
      </c>
      <c r="B15" s="32">
        <v>610</v>
      </c>
      <c r="C15" s="10"/>
      <c r="D15" s="10">
        <f>'610-I &amp; S'!H64</f>
        <v>500</v>
      </c>
      <c r="E15" s="10">
        <f>'610-I &amp; S'!I64</f>
        <v>0</v>
      </c>
      <c r="F15" s="10">
        <f t="shared" si="0"/>
        <v>-500</v>
      </c>
      <c r="J15" s="10"/>
    </row>
    <row r="16" spans="1:10" x14ac:dyDescent="0.2">
      <c r="A16" t="s">
        <v>1159</v>
      </c>
      <c r="B16" s="32">
        <v>710</v>
      </c>
      <c r="C16" s="10"/>
      <c r="D16" s="10">
        <f>'710-Perm Imp'!H15</f>
        <v>409369.48352341377</v>
      </c>
      <c r="E16" s="10">
        <f>'710-Perm Imp'!I15</f>
        <v>470167.00679989648</v>
      </c>
      <c r="F16" s="10">
        <f t="shared" si="0"/>
        <v>60797.523276482709</v>
      </c>
      <c r="J16" s="10"/>
    </row>
    <row r="17" spans="1:10" x14ac:dyDescent="0.2">
      <c r="A17" t="s">
        <v>833</v>
      </c>
      <c r="B17" s="32">
        <v>740</v>
      </c>
      <c r="C17" s="10"/>
      <c r="D17" s="10">
        <f>'740-Tobacco'!H8</f>
        <v>36500</v>
      </c>
      <c r="E17" s="10">
        <f>'740-Tobacco'!I8</f>
        <v>38000</v>
      </c>
      <c r="F17" s="10">
        <f t="shared" si="0"/>
        <v>1500</v>
      </c>
      <c r="H17" s="10"/>
      <c r="J17" s="10"/>
    </row>
    <row r="18" spans="1:10" x14ac:dyDescent="0.2">
      <c r="A18" t="s">
        <v>1042</v>
      </c>
      <c r="B18" s="32">
        <v>750</v>
      </c>
      <c r="C18" s="12"/>
      <c r="D18" s="12">
        <f>'750-CH Maint'!H10</f>
        <v>100</v>
      </c>
      <c r="E18" s="12">
        <f>'750-CH Maint'!I10</f>
        <v>100</v>
      </c>
      <c r="F18" s="12">
        <f t="shared" si="0"/>
        <v>0</v>
      </c>
      <c r="H18" s="10"/>
      <c r="J18" s="10"/>
    </row>
    <row r="19" spans="1:10" ht="13.5" thickBot="1" x14ac:dyDescent="0.25">
      <c r="A19" s="6" t="s">
        <v>137</v>
      </c>
      <c r="B19" s="32"/>
      <c r="C19" s="15">
        <f>SUM(C6:C18)</f>
        <v>0</v>
      </c>
      <c r="D19" s="36">
        <f>SUM(D6:D18)</f>
        <v>32058739.986521862</v>
      </c>
      <c r="E19" s="36">
        <f>SUM(E6:E18)</f>
        <v>38255260.277412683</v>
      </c>
      <c r="F19" s="36">
        <f>SUM(F6:F18)</f>
        <v>6196520.2908908147</v>
      </c>
    </row>
    <row r="20" spans="1:10" ht="13.5" thickTop="1" x14ac:dyDescent="0.2">
      <c r="A20" t="s">
        <v>1433</v>
      </c>
      <c r="B20" s="32"/>
    </row>
    <row r="21" spans="1:10" x14ac:dyDescent="0.2">
      <c r="A21" s="4" t="s">
        <v>861</v>
      </c>
      <c r="B21" s="32"/>
    </row>
    <row r="22" spans="1:10" x14ac:dyDescent="0.2">
      <c r="A22" t="s">
        <v>427</v>
      </c>
      <c r="B22" s="32">
        <v>100</v>
      </c>
      <c r="D22" s="10">
        <f>'100-Genl'!H962</f>
        <v>26528597.456202887</v>
      </c>
      <c r="E22" s="10">
        <f>'100-Genl'!I962</f>
        <v>29114777.29621521</v>
      </c>
      <c r="F22" s="10">
        <f>E22-D22</f>
        <v>2586179.8400123231</v>
      </c>
      <c r="H22" s="8" t="s">
        <v>1433</v>
      </c>
      <c r="J22" s="10"/>
    </row>
    <row r="23" spans="1:10" x14ac:dyDescent="0.2">
      <c r="A23" t="s">
        <v>428</v>
      </c>
      <c r="B23" s="32">
        <v>110</v>
      </c>
      <c r="C23" s="10"/>
      <c r="D23" s="10">
        <f>'110-Jury'!H32</f>
        <v>264129</v>
      </c>
      <c r="E23" s="10">
        <f>'110-Jury'!I32</f>
        <v>287839</v>
      </c>
      <c r="F23" s="10">
        <f t="shared" ref="F23:F34" si="1">E23-D23</f>
        <v>23710</v>
      </c>
      <c r="H23" s="10" t="s">
        <v>1433</v>
      </c>
      <c r="J23" s="10"/>
    </row>
    <row r="24" spans="1:10" x14ac:dyDescent="0.2">
      <c r="A24" s="23" t="s">
        <v>1772</v>
      </c>
      <c r="B24" s="32">
        <v>130</v>
      </c>
      <c r="C24" s="10"/>
      <c r="D24" s="10">
        <f>+'130-Protested Ppty Tax'!H15</f>
        <v>0</v>
      </c>
      <c r="E24" s="10">
        <f>+'130-Protested Ppty Tax'!I15</f>
        <v>0</v>
      </c>
      <c r="F24" s="10">
        <f t="shared" si="1"/>
        <v>0</v>
      </c>
      <c r="H24" s="10"/>
      <c r="J24" s="10"/>
    </row>
    <row r="25" spans="1:10" x14ac:dyDescent="0.2">
      <c r="A25" t="s">
        <v>429</v>
      </c>
      <c r="B25" s="32">
        <v>140</v>
      </c>
      <c r="C25" s="10"/>
      <c r="D25" s="10">
        <f>'140-R &amp; B'!H117</f>
        <v>6295591.3200000003</v>
      </c>
      <c r="E25" s="10">
        <f>'140-R &amp; B'!I117</f>
        <v>7959206.75</v>
      </c>
      <c r="F25" s="10">
        <f t="shared" si="1"/>
        <v>1663615.4299999997</v>
      </c>
      <c r="H25" s="10" t="s">
        <v>1433</v>
      </c>
      <c r="J25" s="10"/>
    </row>
    <row r="26" spans="1:10" x14ac:dyDescent="0.2">
      <c r="A26" t="s">
        <v>834</v>
      </c>
      <c r="B26" s="32">
        <v>180</v>
      </c>
      <c r="C26" s="10"/>
      <c r="D26" s="10">
        <f>'180-Emer Mgm'!H16</f>
        <v>1000</v>
      </c>
      <c r="E26" s="10">
        <f>'180-Emer Mgm'!I16</f>
        <v>1000</v>
      </c>
      <c r="F26" s="10">
        <f t="shared" si="1"/>
        <v>0</v>
      </c>
      <c r="H26" s="10"/>
      <c r="J26" s="10"/>
    </row>
    <row r="27" spans="1:10" x14ac:dyDescent="0.2">
      <c r="A27" s="39" t="s">
        <v>1813</v>
      </c>
      <c r="B27" s="32">
        <v>240</v>
      </c>
      <c r="C27" s="10"/>
      <c r="D27" s="10">
        <f>+'240-Airport'!H50</f>
        <v>337100</v>
      </c>
      <c r="E27" s="10">
        <f>+'240-Airport'!I50</f>
        <v>308850</v>
      </c>
      <c r="F27" s="10">
        <f t="shared" si="1"/>
        <v>-28250</v>
      </c>
      <c r="H27" s="10"/>
      <c r="J27" s="10"/>
    </row>
    <row r="28" spans="1:10" x14ac:dyDescent="0.2">
      <c r="A28" t="s">
        <v>1727</v>
      </c>
      <c r="B28" s="32">
        <v>280</v>
      </c>
      <c r="C28" s="10"/>
      <c r="D28" s="10">
        <f>'280-Capital Murder'!H14</f>
        <v>0</v>
      </c>
      <c r="E28" s="10">
        <f>'280-Capital Murder'!I14</f>
        <v>0</v>
      </c>
      <c r="F28" s="10">
        <f t="shared" si="1"/>
        <v>0</v>
      </c>
      <c r="H28" s="10"/>
      <c r="J28" s="10"/>
    </row>
    <row r="29" spans="1:10" x14ac:dyDescent="0.2">
      <c r="A29" t="s">
        <v>430</v>
      </c>
      <c r="B29" s="32">
        <v>450</v>
      </c>
      <c r="C29" s="10"/>
      <c r="D29" s="10">
        <f>'450-Juv Svcs'!H81</f>
        <v>1522047.8</v>
      </c>
      <c r="E29" s="10">
        <f>'450-Juv Svcs'!I81</f>
        <v>1931398.24</v>
      </c>
      <c r="F29" s="10">
        <f t="shared" si="1"/>
        <v>409350.43999999994</v>
      </c>
      <c r="H29" s="10"/>
      <c r="J29" s="10"/>
    </row>
    <row r="30" spans="1:10" hidden="1" x14ac:dyDescent="0.2">
      <c r="A30" t="s">
        <v>431</v>
      </c>
      <c r="B30" s="32">
        <v>470</v>
      </c>
      <c r="C30" s="10"/>
      <c r="D30" s="10">
        <f>'470-Boot Camp'!F34</f>
        <v>0</v>
      </c>
      <c r="E30" s="10">
        <f>'470-Boot Camp'!G34</f>
        <v>0</v>
      </c>
      <c r="F30" s="10">
        <f t="shared" si="1"/>
        <v>0</v>
      </c>
      <c r="H30" s="8"/>
      <c r="J30" s="10"/>
    </row>
    <row r="31" spans="1:10" x14ac:dyDescent="0.2">
      <c r="A31" t="s">
        <v>1158</v>
      </c>
      <c r="B31" s="32">
        <v>610</v>
      </c>
      <c r="C31" s="10"/>
      <c r="D31" s="242">
        <f>'610-I &amp; S'!H54</f>
        <v>296286.43</v>
      </c>
      <c r="E31" s="10">
        <f>'610-I &amp; S'!I54</f>
        <v>0</v>
      </c>
      <c r="F31" s="10">
        <f t="shared" si="1"/>
        <v>-296286.43</v>
      </c>
      <c r="J31" s="10"/>
    </row>
    <row r="32" spans="1:10" x14ac:dyDescent="0.2">
      <c r="A32" t="s">
        <v>1159</v>
      </c>
      <c r="B32" s="32">
        <v>710</v>
      </c>
      <c r="C32" s="10"/>
      <c r="D32" s="242">
        <f>'710-Perm Imp'!H26</f>
        <v>770000</v>
      </c>
      <c r="E32" s="10">
        <f>'710-Perm Imp'!I26</f>
        <v>770000</v>
      </c>
      <c r="F32" s="10">
        <f t="shared" si="1"/>
        <v>0</v>
      </c>
      <c r="H32" s="10"/>
      <c r="J32" s="10"/>
    </row>
    <row r="33" spans="1:10" x14ac:dyDescent="0.2">
      <c r="A33" t="s">
        <v>833</v>
      </c>
      <c r="B33" s="32">
        <v>740</v>
      </c>
      <c r="C33" s="10"/>
      <c r="D33" s="242">
        <f>'740-Tobacco'!H33</f>
        <v>163015</v>
      </c>
      <c r="E33" s="10">
        <f>'740-Tobacco'!I33</f>
        <v>75000</v>
      </c>
      <c r="F33" s="10">
        <f t="shared" si="1"/>
        <v>-88015</v>
      </c>
      <c r="H33" s="10"/>
      <c r="J33" s="10"/>
    </row>
    <row r="34" spans="1:10" x14ac:dyDescent="0.2">
      <c r="A34" t="s">
        <v>1042</v>
      </c>
      <c r="B34" s="32">
        <v>750</v>
      </c>
      <c r="C34" s="12"/>
      <c r="D34" s="12">
        <f>'750-CH Maint'!H15</f>
        <v>165000</v>
      </c>
      <c r="E34" s="12">
        <f>'750-CH Maint'!I15</f>
        <v>50000</v>
      </c>
      <c r="F34" s="10">
        <f t="shared" si="1"/>
        <v>-115000</v>
      </c>
      <c r="I34"/>
    </row>
    <row r="35" spans="1:10" ht="13.5" thickBot="1" x14ac:dyDescent="0.25">
      <c r="A35" s="6" t="s">
        <v>1341</v>
      </c>
      <c r="B35" s="32"/>
      <c r="D35" s="36">
        <f>SUM(D22:D34)</f>
        <v>36342767.006202884</v>
      </c>
      <c r="E35" s="36">
        <f>SUM(E22:E34)</f>
        <v>40498071.286215208</v>
      </c>
      <c r="F35" s="135">
        <f>SUM(F22:F34)</f>
        <v>4155304.2800123226</v>
      </c>
      <c r="I35"/>
    </row>
    <row r="36" spans="1:10" ht="8.25" customHeight="1" thickTop="1" x14ac:dyDescent="0.2">
      <c r="A36" s="6"/>
      <c r="B36" s="32"/>
      <c r="D36" s="8"/>
      <c r="E36" s="8"/>
      <c r="F36" s="8"/>
      <c r="I36"/>
    </row>
    <row r="37" spans="1:10" x14ac:dyDescent="0.2">
      <c r="A37" s="4" t="s">
        <v>2307</v>
      </c>
      <c r="B37" s="32"/>
      <c r="D37" s="10">
        <f>+D19-D35</f>
        <v>-4284027.0196810216</v>
      </c>
      <c r="E37" s="10">
        <f>+E19-E35</f>
        <v>-2242811.0088025257</v>
      </c>
      <c r="F37" s="8"/>
      <c r="I37"/>
    </row>
    <row r="38" spans="1:10" ht="8.25" customHeight="1" x14ac:dyDescent="0.2">
      <c r="A38" s="6"/>
      <c r="B38" s="32"/>
      <c r="D38" s="8"/>
      <c r="E38" s="8"/>
      <c r="F38" s="8"/>
      <c r="I38"/>
    </row>
    <row r="39" spans="1:10" x14ac:dyDescent="0.2">
      <c r="A39" s="4" t="s">
        <v>1141</v>
      </c>
      <c r="B39" s="32"/>
      <c r="D39" s="1">
        <v>2023</v>
      </c>
      <c r="E39" s="1">
        <v>2024</v>
      </c>
      <c r="F39" s="1" t="s">
        <v>170</v>
      </c>
      <c r="I39"/>
    </row>
    <row r="40" spans="1:10" ht="12.75" customHeight="1" x14ac:dyDescent="0.2">
      <c r="A40" t="s">
        <v>929</v>
      </c>
      <c r="B40" s="32"/>
      <c r="D40" s="10">
        <f>'890-DA Spec'!H68+'750-CH Maint'!H22+'740-Tobacco'!H40+'730-CH Const'!H23+'720-Jail Const'!H28+'710-Perm Imp'!H33+'610-I &amp; S'!H62+'570-6th Court of Appeals'!H21+'560-Court-Init Guardianship'!H19+'551-SubCH Sec'!H23+'550-Security'!H37+'500-515-Records Mgm'!H207+'500-515-Records Mgm'!H177+'500-515-Records Mgm'!H146+'500-515-Records Mgm'!H116+'500-515-Records Mgm'!H86+'500-515-Records Mgm'!H51+'500-515-Records Mgm'!H20+'495 - American Rescue Plan'!H38+'490-Co Grants'!H295+'470-Boot Camp'!H41+'460-Juv Grants'!H115+'450-Juv Svcs'!H88+'410-Law Lib'!H23+'330-Case Mgr'!H25+'300-310-320-Technology'!H29+'300-310-320-Technology'!H62+'300-310-320-Technology'!H97+'280-Capital Murder'!H22+'270-HC Youth'!H34+'260-VIT'!H24+'240-Airport'!H46+'220-Constable'!H33+'180-Emer Mgm'!H24+'160-Perm School'!H22+'145-Road Damage'!H21+'140-R &amp; B'!H124+'130-Protested Ppty Tax'!H23+'120-Bail Bond'!H23+'110-Jury'!H40+'100-Genl'!H970</f>
        <v>22025372.087799996</v>
      </c>
      <c r="E40" s="10">
        <f>'890-DA Spec'!I68+'750-CH Maint'!I22+'740-Tobacco'!I40+'730-CH Const'!I23+'720-Jail Const'!I28+'710-Perm Imp'!I33+'610-I &amp; S'!I62+'570-6th Court of Appeals'!I21+'560-Court-Init Guardianship'!I19+'551-SubCH Sec'!I23+'550-Security'!I37+'500-515-Records Mgm'!I20+'500-515-Records Mgm'!I51+'500-515-Records Mgm'!I86+'500-515-Records Mgm'!I116+'500-515-Records Mgm'!I146+'500-515-Records Mgm'!I177+'500-515-Records Mgm'!I207+'495 - American Rescue Plan'!I38+'490-Co Grants'!I295+'470-Boot Camp'!I41+'460-Juv Grants'!I115+'450-Juv Svcs'!I88+'410-Law Lib'!I23+'330-Case Mgr'!I25+'300-310-320-Technology'!I97+'300-310-320-Technology'!I62+'300-310-320-Technology'!I29+'280-Capital Murder'!I22+'270-HC Youth'!I34+'260-VIT'!I24+'240-Airport'!I46+'220-Constable'!I33+'180-Emer Mgm'!I24+'160-Perm School'!I22+'145-Road Damage'!I21+'140-R &amp; B'!I124+'130-Protested Ppty Tax'!I23+'120-Bail Bond'!I23+'110-Jury'!I40+'100-Genl'!I970</f>
        <v>15324958.068118971</v>
      </c>
      <c r="F40" s="10">
        <f>E40-D40</f>
        <v>-6700414.0196810253</v>
      </c>
    </row>
    <row r="41" spans="1:10" x14ac:dyDescent="0.2">
      <c r="A41" t="s">
        <v>113</v>
      </c>
      <c r="B41" s="32"/>
      <c r="C41" s="10"/>
      <c r="D41" s="10">
        <f>'890-DA Spec'!H70+'750-CH Maint'!H24+'740-Tobacco'!H42+'730-CH Const'!H25+'720-Jail Const'!H30+'710-Perm Imp'!H35+'610-I &amp; S'!H64+'570-6th Court of Appeals'!H23+'560-Court-Init Guardianship'!H21+'551-SubCH Sec'!H25+'550-Security'!H39+'500-515-Records Mgm'!H22+'500-515-Records Mgm'!H53+'500-515-Records Mgm'!H88+'500-515-Records Mgm'!H118+'500-515-Records Mgm'!H148+'500-515-Records Mgm'!H179+'500-515-Records Mgm'!H209+'495 - American Rescue Plan'!H40+'490-Co Grants'!H297+'470-Boot Camp'!H43+'460-Juv Grants'!H117+'450-Juv Svcs'!H90+'410-Law Lib'!H25+'330-Case Mgr'!H27+'300-310-320-Technology'!H31+'300-310-320-Technology'!H64+'300-310-320-Technology'!H99+'280-Capital Murder'!H24+'270-HC Youth'!H36+'260-VIT'!H26+'240-Airport'!H48+'220-Constable'!H35+'180-Emer Mgm'!H26+'160-Perm School'!H24+'145-Road Damage'!H23+'140-R &amp; B'!H126+'130-Protested Ppty Tax'!H25+'120-Bail Bond'!H25+'110-Jury'!H42+'100-Genl'!H972</f>
        <v>40078735.096521862</v>
      </c>
      <c r="E41" s="10">
        <f>'890-DA Spec'!I70+'750-CH Maint'!I24+'740-Tobacco'!I42+'730-CH Const'!I25+'720-Jail Const'!I30+'710-Perm Imp'!I35+'610-I &amp; S'!I64+'570-6th Court of Appeals'!I23+'560-Court-Init Guardianship'!I21+'551-SubCH Sec'!I25+'550-Security'!I39+'500-515-Records Mgm'!I22+'500-515-Records Mgm'!I53+'500-515-Records Mgm'!I88+'500-515-Records Mgm'!I118+'500-515-Records Mgm'!I148+'500-515-Records Mgm'!I179+'500-515-Records Mgm'!I209+'495 - American Rescue Plan'!I40+'490-Co Grants'!I297+'470-Boot Camp'!I43+'460-Juv Grants'!I117+'450-Juv Svcs'!I90+'410-Law Lib'!I25+'330-Case Mgr'!I27+'300-310-320-Technology'!I31+'300-310-320-Technology'!I64+'300-310-320-Technology'!I99+'280-Capital Murder'!I24+'270-HC Youth'!I36+'260-VIT'!I26+'240-Airport'!I48+'220-Constable'!I35+'180-Emer Mgm'!I26+'160-Perm School'!I24+'145-Road Damage'!I23+'140-R &amp; B'!I126+'130-Protested Ppty Tax'!I25+'120-Bail Bond'!I25+'110-Jury'!I42+'100-Genl'!I972</f>
        <v>42411800.157412678</v>
      </c>
      <c r="F41" s="10">
        <f>E41-D41</f>
        <v>2333065.0608908162</v>
      </c>
    </row>
    <row r="42" spans="1:10" x14ac:dyDescent="0.2">
      <c r="A42" t="s">
        <v>1427</v>
      </c>
      <c r="B42" s="32"/>
      <c r="C42" s="10"/>
      <c r="D42" s="10">
        <f>'890-DA Spec'!H72+'750-CH Maint'!H26+'740-Tobacco'!H44+'730-CH Const'!H27+'720-Jail Const'!H32+'710-Perm Imp'!H37+'610-I &amp; S'!H66+'570-6th Court of Appeals'!H25+'560-Court-Init Guardianship'!H23+'551-SubCH Sec'!H27+'550-Security'!H41+'500-515-Records Mgm'!H24+'500-515-Records Mgm'!H55+'500-515-Records Mgm'!H90+'500-515-Records Mgm'!H120+'500-515-Records Mgm'!H150+'500-515-Records Mgm'!H181+'500-515-Records Mgm'!H211+'495 - American Rescue Plan'!H42+'490-Co Grants'!H299+'470-Boot Camp'!H45+'460-Juv Grants'!H119+'450-Juv Svcs'!H92+'410-Law Lib'!H27+'330-Case Mgr'!H29+'300-310-320-Technology'!H33+'300-310-320-Technology'!H66+'300-310-320-Technology'!H101+'280-Capital Murder'!H26+'270-HC Youth'!H38+'260-VIT'!H28+'240-Airport'!H50+'220-Constable'!H37+'180-Emer Mgm'!H28+'160-Perm School'!H26+'145-Road Damage'!H25+'140-R &amp; B'!H128+'130-Protested Ppty Tax'!H27+'120-Bail Bond'!H27+'110-Jury'!H44+'100-Genl'!H974</f>
        <v>46779149.116202891</v>
      </c>
      <c r="E42" s="10">
        <f>'890-DA Spec'!I72+'750-CH Maint'!I26+'740-Tobacco'!I44+'730-CH Const'!I27+'720-Jail Const'!I32+'710-Perm Imp'!I37+'610-I &amp; S'!I66+'570-6th Court of Appeals'!I25+'560-Court-Init Guardianship'!I23+'551-SubCH Sec'!I27+'550-Security'!I41+'500-515-Records Mgm'!I24+'500-515-Records Mgm'!I55+'500-515-Records Mgm'!I90+'500-515-Records Mgm'!I120+'500-515-Records Mgm'!I150+'500-515-Records Mgm'!I181+'500-515-Records Mgm'!I211+'495 - American Rescue Plan'!I42+'490-Co Grants'!I299+'470-Boot Camp'!I45+'460-Juv Grants'!I119+'450-Juv Svcs'!I92+'410-Law Lib'!I27+'330-Case Mgr'!I29+'300-310-320-Technology'!I101+'280-Capital Murder'!I26+'270-HC Youth'!I38+'260-VIT'!I28+'240-Airport'!I50+'220-Constable'!I37+'180-Emer Mgm'!I28+'160-Perm School'!I26+'145-Road Damage'!I25+'140-R &amp; B'!I128+'130-Protested Ppty Tax'!I27+'120-Bail Bond'!I27+'110-Jury'!I44+'100-Genl'!I974</f>
        <v>44738447.396215215</v>
      </c>
      <c r="F42" s="10">
        <f>E42-D42</f>
        <v>-2040701.7199876755</v>
      </c>
    </row>
    <row r="43" spans="1:10" ht="26.25" customHeight="1" thickBot="1" x14ac:dyDescent="0.25">
      <c r="A43" t="s">
        <v>1348</v>
      </c>
      <c r="B43" s="32"/>
      <c r="C43" s="8"/>
      <c r="D43" s="135">
        <f>D40+D41-D42</f>
        <v>15324958.068118967</v>
      </c>
      <c r="E43" s="135">
        <f>E40+E41-E42</f>
        <v>12998310.829316437</v>
      </c>
      <c r="F43" s="135">
        <f>F40+F41-F42</f>
        <v>-2326647.2388025336</v>
      </c>
    </row>
    <row r="44" spans="1:10" ht="13.5" thickTop="1" x14ac:dyDescent="0.2">
      <c r="B44" s="32"/>
      <c r="C44" s="8"/>
      <c r="D44" s="8"/>
      <c r="E44" s="8"/>
      <c r="F44" s="93"/>
    </row>
    <row r="45" spans="1:10" x14ac:dyDescent="0.2">
      <c r="A45" s="4" t="s">
        <v>392</v>
      </c>
      <c r="B45" s="32"/>
      <c r="D45" s="1">
        <f>+$D$39</f>
        <v>2023</v>
      </c>
      <c r="E45" s="1">
        <f>+$E$39</f>
        <v>2024</v>
      </c>
      <c r="F45" s="1" t="str">
        <f>+$F$39</f>
        <v>DIFFERENCE</v>
      </c>
    </row>
    <row r="46" spans="1:10" ht="12.75" customHeight="1" x14ac:dyDescent="0.2">
      <c r="A46" t="s">
        <v>929</v>
      </c>
      <c r="B46" s="32"/>
      <c r="D46" s="10">
        <f>'100-Genl'!H970</f>
        <v>14914037.323999994</v>
      </c>
      <c r="E46" s="10">
        <f>'100-Genl'!I970</f>
        <v>12085543.267797105</v>
      </c>
      <c r="F46" s="10">
        <f>E46-D46</f>
        <v>-2828494.0562028885</v>
      </c>
    </row>
    <row r="47" spans="1:10" x14ac:dyDescent="0.2">
      <c r="A47" t="s">
        <v>113</v>
      </c>
      <c r="B47" s="32"/>
      <c r="C47" s="10"/>
      <c r="D47" s="10">
        <f>'100-Genl'!H972</f>
        <v>23700103.399999999</v>
      </c>
      <c r="E47" s="10">
        <f>'100-Genl'!I972</f>
        <v>28091250.399243839</v>
      </c>
      <c r="F47" s="10">
        <f>E47-D47</f>
        <v>4391146.9992438406</v>
      </c>
    </row>
    <row r="48" spans="1:10" x14ac:dyDescent="0.2">
      <c r="A48" t="s">
        <v>1427</v>
      </c>
      <c r="B48" s="32"/>
      <c r="C48" s="10"/>
      <c r="D48" s="10">
        <f>'100-Genl'!H974</f>
        <v>26528597.456202887</v>
      </c>
      <c r="E48" s="10">
        <f>'100-Genl'!I974</f>
        <v>29114777.29621521</v>
      </c>
      <c r="F48" s="10">
        <f>E48-D48</f>
        <v>2586179.8400123231</v>
      </c>
    </row>
    <row r="49" spans="1:12" x14ac:dyDescent="0.2">
      <c r="A49" t="s">
        <v>163</v>
      </c>
      <c r="B49" s="32"/>
      <c r="C49" s="12"/>
      <c r="D49" s="10">
        <f>'100-Genl'!G976</f>
        <v>0</v>
      </c>
      <c r="E49" s="10">
        <f>'100-Genl'!H976</f>
        <v>0</v>
      </c>
      <c r="F49" s="18">
        <f>E49-D49</f>
        <v>0</v>
      </c>
    </row>
    <row r="50" spans="1:12" ht="13.5" thickBot="1" x14ac:dyDescent="0.25">
      <c r="A50" t="s">
        <v>1348</v>
      </c>
      <c r="B50" s="32"/>
      <c r="C50" s="8"/>
      <c r="D50" s="135">
        <f>D46+D47-D48</f>
        <v>12085543.267797105</v>
      </c>
      <c r="E50" s="135">
        <f t="shared" ref="E50:F50" si="2">E46+E47-E48</f>
        <v>11062016.370825734</v>
      </c>
      <c r="F50" s="135">
        <f t="shared" si="2"/>
        <v>-1023526.896971371</v>
      </c>
      <c r="G50" t="s">
        <v>2510</v>
      </c>
    </row>
    <row r="51" spans="1:12" ht="13.5" thickTop="1" x14ac:dyDescent="0.2">
      <c r="A51" s="13" t="s">
        <v>1433</v>
      </c>
      <c r="B51" s="32"/>
      <c r="C51" s="8"/>
      <c r="D51" s="8" t="s">
        <v>1433</v>
      </c>
      <c r="E51" s="8"/>
      <c r="F51" s="25" t="s">
        <v>1433</v>
      </c>
    </row>
    <row r="52" spans="1:12" ht="3.75" customHeight="1" x14ac:dyDescent="0.2">
      <c r="A52" s="13"/>
      <c r="B52" s="32"/>
      <c r="C52" s="8"/>
      <c r="D52" s="8"/>
      <c r="E52" s="8"/>
      <c r="F52" s="25"/>
    </row>
    <row r="53" spans="1:12" x14ac:dyDescent="0.2">
      <c r="A53" s="4" t="s">
        <v>1160</v>
      </c>
      <c r="B53" s="32"/>
      <c r="D53" s="1">
        <f>+$D$39</f>
        <v>2023</v>
      </c>
      <c r="E53" s="1">
        <f>+$E$39</f>
        <v>2024</v>
      </c>
      <c r="F53" s="1" t="str">
        <f>+$F$39</f>
        <v>DIFFERENCE</v>
      </c>
    </row>
    <row r="54" spans="1:12" x14ac:dyDescent="0.2">
      <c r="A54" s="39" t="s">
        <v>1814</v>
      </c>
      <c r="B54" s="32"/>
      <c r="C54" s="8"/>
      <c r="D54" s="10"/>
      <c r="E54" s="10"/>
      <c r="F54" s="10">
        <v>0</v>
      </c>
    </row>
    <row r="55" spans="1:12" x14ac:dyDescent="0.2">
      <c r="A55" t="s">
        <v>1042</v>
      </c>
      <c r="B55" s="32"/>
      <c r="C55" s="8"/>
      <c r="D55" s="10"/>
      <c r="E55" s="10"/>
      <c r="F55" s="10">
        <v>0</v>
      </c>
    </row>
    <row r="56" spans="1:12" x14ac:dyDescent="0.2">
      <c r="A56" t="s">
        <v>613</v>
      </c>
      <c r="B56" s="32"/>
      <c r="C56" s="12"/>
      <c r="D56" s="10">
        <f>'720-Jail Const'!C32</f>
        <v>0</v>
      </c>
      <c r="E56" s="10"/>
      <c r="F56" s="10">
        <v>0</v>
      </c>
    </row>
    <row r="57" spans="1:12" x14ac:dyDescent="0.2">
      <c r="A57" t="s">
        <v>1212</v>
      </c>
      <c r="B57" s="32"/>
      <c r="C57" s="10"/>
      <c r="D57" s="10"/>
      <c r="E57" s="10"/>
      <c r="F57" s="10">
        <v>0</v>
      </c>
    </row>
    <row r="58" spans="1:12" x14ac:dyDescent="0.2">
      <c r="A58" t="s">
        <v>2511</v>
      </c>
      <c r="D58" s="12">
        <v>0</v>
      </c>
      <c r="E58" s="12"/>
      <c r="F58" s="12">
        <v>0</v>
      </c>
      <c r="H58" s="32"/>
      <c r="I58" s="114"/>
      <c r="J58" s="10"/>
      <c r="K58" s="10"/>
      <c r="L58" s="10"/>
    </row>
    <row r="59" spans="1:12" ht="13.5" thickBot="1" x14ac:dyDescent="0.25">
      <c r="A59" s="6" t="s">
        <v>1341</v>
      </c>
      <c r="B59" s="32"/>
      <c r="D59" s="36">
        <f>SUM(D54:D58)</f>
        <v>0</v>
      </c>
      <c r="E59" s="36"/>
      <c r="F59" s="36">
        <f>SUM(F54:F58)</f>
        <v>0</v>
      </c>
    </row>
    <row r="60" spans="1:12" ht="13.5" thickTop="1" x14ac:dyDescent="0.2"/>
  </sheetData>
  <phoneticPr fontId="2" type="noConversion"/>
  <pageMargins left="0.75" right="0.75" top="0.75" bottom="0.75" header="0.5" footer="0.5"/>
  <pageSetup scale="95" firstPageNumber="65" orientation="portrait" useFirstPageNumber="1" r:id="rId1"/>
  <headerFooter alignWithMargins="0">
    <oddFooter xml:space="preserve">&amp;C&amp;P
</oddFooter>
  </headerFooter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E48"/>
  <sheetViews>
    <sheetView tabSelected="1" zoomScaleNormal="100" workbookViewId="0"/>
  </sheetViews>
  <sheetFormatPr defaultColWidth="9.140625" defaultRowHeight="12.75" x14ac:dyDescent="0.2"/>
  <cols>
    <col min="1" max="1" width="35.42578125" customWidth="1"/>
    <col min="2" max="2" width="9.140625" bestFit="1" customWidth="1"/>
    <col min="3" max="3" width="12.85546875" bestFit="1" customWidth="1"/>
    <col min="4" max="4" width="14.5703125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5" x14ac:dyDescent="0.2">
      <c r="A1" s="4" t="s">
        <v>1433</v>
      </c>
    </row>
    <row r="2" spans="1:5" x14ac:dyDescent="0.2">
      <c r="A2" s="4" t="s">
        <v>2570</v>
      </c>
    </row>
    <row r="4" spans="1:5" ht="30" customHeight="1" x14ac:dyDescent="0.2">
      <c r="A4" s="258" t="s">
        <v>2571</v>
      </c>
      <c r="B4" s="258"/>
      <c r="C4" s="258"/>
      <c r="D4" s="258"/>
      <c r="E4" s="258"/>
    </row>
    <row r="5" spans="1:5" x14ac:dyDescent="0.2">
      <c r="A5" s="39"/>
    </row>
    <row r="7" spans="1:5" ht="15" customHeight="1" x14ac:dyDescent="0.2">
      <c r="B7" s="1"/>
      <c r="C7" s="1"/>
      <c r="D7" s="1" t="s">
        <v>92</v>
      </c>
    </row>
    <row r="8" spans="1:5" ht="43.5" customHeight="1" x14ac:dyDescent="0.2">
      <c r="A8" s="45" t="s">
        <v>614</v>
      </c>
      <c r="B8" s="94" t="s">
        <v>93</v>
      </c>
      <c r="C8" s="94" t="s">
        <v>94</v>
      </c>
      <c r="D8" s="95" t="s">
        <v>765</v>
      </c>
      <c r="E8" s="94" t="s">
        <v>1379</v>
      </c>
    </row>
    <row r="9" spans="1:5" x14ac:dyDescent="0.2">
      <c r="A9" t="s">
        <v>655</v>
      </c>
      <c r="B9" s="96">
        <f>65624+25200+5658</f>
        <v>96482</v>
      </c>
      <c r="C9" s="96">
        <v>1290</v>
      </c>
      <c r="D9" s="96">
        <f>480+180+60</f>
        <v>720</v>
      </c>
      <c r="E9" s="96">
        <f>SUM(B9:D9)</f>
        <v>98492</v>
      </c>
    </row>
    <row r="10" spans="1:5" x14ac:dyDescent="0.2">
      <c r="B10" s="96"/>
      <c r="C10" s="96"/>
      <c r="D10" s="96"/>
      <c r="E10" s="96"/>
    </row>
    <row r="11" spans="1:5" x14ac:dyDescent="0.2">
      <c r="A11" t="s">
        <v>615</v>
      </c>
      <c r="B11" s="96">
        <v>56075</v>
      </c>
      <c r="C11" s="96">
        <v>5455</v>
      </c>
      <c r="D11" s="96">
        <v>600</v>
      </c>
      <c r="E11" s="96">
        <f t="shared" ref="E11:E45" si="0">SUM(B11:D11)</f>
        <v>62130</v>
      </c>
    </row>
    <row r="12" spans="1:5" x14ac:dyDescent="0.2">
      <c r="A12" t="s">
        <v>1433</v>
      </c>
      <c r="B12" s="96"/>
      <c r="C12" s="96"/>
      <c r="D12" s="96"/>
      <c r="E12" s="96"/>
    </row>
    <row r="13" spans="1:5" x14ac:dyDescent="0.2">
      <c r="A13" t="s">
        <v>616</v>
      </c>
      <c r="B13" s="96">
        <f>+B11</f>
        <v>56075</v>
      </c>
      <c r="C13" s="96">
        <v>5455</v>
      </c>
      <c r="D13" s="96">
        <v>480</v>
      </c>
      <c r="E13" s="96">
        <f t="shared" si="0"/>
        <v>62010</v>
      </c>
    </row>
    <row r="14" spans="1:5" x14ac:dyDescent="0.2">
      <c r="A14" t="s">
        <v>1433</v>
      </c>
      <c r="B14" s="96"/>
      <c r="C14" s="96"/>
      <c r="D14" s="96"/>
      <c r="E14" s="96"/>
    </row>
    <row r="15" spans="1:5" x14ac:dyDescent="0.2">
      <c r="A15" t="s">
        <v>617</v>
      </c>
      <c r="B15" s="96">
        <f>+B13</f>
        <v>56075</v>
      </c>
      <c r="C15" s="96">
        <v>5455</v>
      </c>
      <c r="D15" s="96">
        <v>1080</v>
      </c>
      <c r="E15" s="96">
        <f t="shared" si="0"/>
        <v>62610</v>
      </c>
    </row>
    <row r="16" spans="1:5" x14ac:dyDescent="0.2">
      <c r="B16" s="96"/>
      <c r="C16" s="96"/>
      <c r="D16" s="96"/>
      <c r="E16" s="96"/>
    </row>
    <row r="17" spans="1:5" x14ac:dyDescent="0.2">
      <c r="A17" t="s">
        <v>647</v>
      </c>
      <c r="B17" s="96">
        <f>+B15</f>
        <v>56075</v>
      </c>
      <c r="C17" s="96">
        <v>5455</v>
      </c>
      <c r="D17" s="96">
        <v>480</v>
      </c>
      <c r="E17" s="96">
        <f t="shared" si="0"/>
        <v>62010</v>
      </c>
    </row>
    <row r="18" spans="1:5" x14ac:dyDescent="0.2">
      <c r="B18" s="96"/>
      <c r="C18" s="96"/>
      <c r="D18" s="96"/>
      <c r="E18" s="96"/>
    </row>
    <row r="19" spans="1:5" x14ac:dyDescent="0.2">
      <c r="A19" t="s">
        <v>660</v>
      </c>
      <c r="B19" s="96">
        <v>56318</v>
      </c>
      <c r="C19" s="96">
        <v>0</v>
      </c>
      <c r="D19" s="96">
        <v>1500</v>
      </c>
      <c r="E19" s="96">
        <f t="shared" si="0"/>
        <v>57818</v>
      </c>
    </row>
    <row r="20" spans="1:5" x14ac:dyDescent="0.2">
      <c r="B20" s="96"/>
      <c r="C20" s="96"/>
      <c r="D20" s="96"/>
      <c r="E20" s="96"/>
    </row>
    <row r="21" spans="1:5" x14ac:dyDescent="0.2">
      <c r="A21" t="s">
        <v>648</v>
      </c>
      <c r="B21" s="96">
        <v>185000</v>
      </c>
      <c r="C21" s="96">
        <v>0</v>
      </c>
      <c r="D21" s="96">
        <v>0</v>
      </c>
      <c r="E21" s="96">
        <f t="shared" si="0"/>
        <v>185000</v>
      </c>
    </row>
    <row r="22" spans="1:5" x14ac:dyDescent="0.2">
      <c r="B22" s="96"/>
      <c r="C22" s="96"/>
      <c r="D22" s="96"/>
      <c r="E22" s="96"/>
    </row>
    <row r="23" spans="1:5" x14ac:dyDescent="0.2">
      <c r="A23" t="s">
        <v>663</v>
      </c>
      <c r="B23" s="96">
        <v>56318</v>
      </c>
      <c r="C23" s="96">
        <v>0</v>
      </c>
      <c r="D23" s="96">
        <v>660</v>
      </c>
      <c r="E23" s="96">
        <f t="shared" si="0"/>
        <v>56978</v>
      </c>
    </row>
    <row r="24" spans="1:5" x14ac:dyDescent="0.2">
      <c r="B24" s="96"/>
      <c r="C24" s="96"/>
      <c r="D24" s="96"/>
      <c r="E24" s="96"/>
    </row>
    <row r="25" spans="1:5" x14ac:dyDescent="0.2">
      <c r="A25" t="s">
        <v>8</v>
      </c>
      <c r="B25" s="96">
        <v>52431</v>
      </c>
      <c r="C25" s="96">
        <v>7500</v>
      </c>
      <c r="D25" s="96">
        <f>480+240</f>
        <v>720</v>
      </c>
      <c r="E25" s="96">
        <f t="shared" si="0"/>
        <v>60651</v>
      </c>
    </row>
    <row r="26" spans="1:5" x14ac:dyDescent="0.2">
      <c r="B26" s="96"/>
      <c r="C26" s="96"/>
      <c r="D26" s="96"/>
      <c r="E26" s="96"/>
    </row>
    <row r="27" spans="1:5" x14ac:dyDescent="0.2">
      <c r="A27" t="s">
        <v>930</v>
      </c>
      <c r="B27" s="96">
        <f>+B25</f>
        <v>52431</v>
      </c>
      <c r="C27" s="96">
        <v>7500</v>
      </c>
      <c r="D27" s="96">
        <f>480+840</f>
        <v>1320</v>
      </c>
      <c r="E27" s="96">
        <f t="shared" si="0"/>
        <v>61251</v>
      </c>
    </row>
    <row r="28" spans="1:5" x14ac:dyDescent="0.2">
      <c r="B28" s="96"/>
      <c r="C28" s="96"/>
      <c r="D28" s="96"/>
      <c r="E28" s="96"/>
    </row>
    <row r="29" spans="1:5" x14ac:dyDescent="0.2">
      <c r="A29" t="s">
        <v>1353</v>
      </c>
      <c r="B29" s="96">
        <f>+B27</f>
        <v>52431</v>
      </c>
      <c r="C29" s="96">
        <v>7500</v>
      </c>
      <c r="D29" s="96">
        <v>480</v>
      </c>
      <c r="E29" s="96">
        <f t="shared" si="0"/>
        <v>60411</v>
      </c>
    </row>
    <row r="30" spans="1:5" x14ac:dyDescent="0.2">
      <c r="B30" s="96"/>
      <c r="C30" s="96"/>
      <c r="D30" s="96"/>
      <c r="E30" s="96"/>
    </row>
    <row r="31" spans="1:5" x14ac:dyDescent="0.2">
      <c r="A31" t="s">
        <v>1183</v>
      </c>
      <c r="B31" s="96">
        <f>+B29</f>
        <v>52431</v>
      </c>
      <c r="C31" s="96">
        <v>7500</v>
      </c>
      <c r="D31" s="96">
        <f>1500+480</f>
        <v>1980</v>
      </c>
      <c r="E31" s="96">
        <f t="shared" si="0"/>
        <v>61911</v>
      </c>
    </row>
    <row r="32" spans="1:5" x14ac:dyDescent="0.2">
      <c r="B32" s="96"/>
      <c r="C32" s="96"/>
      <c r="D32" s="96"/>
      <c r="E32" s="96"/>
    </row>
    <row r="33" spans="1:5" x14ac:dyDescent="0.2">
      <c r="A33" t="s">
        <v>99</v>
      </c>
      <c r="B33" s="96">
        <v>56318</v>
      </c>
      <c r="C33" s="96">
        <v>0</v>
      </c>
      <c r="D33" s="96">
        <v>240</v>
      </c>
      <c r="E33" s="96">
        <f t="shared" si="0"/>
        <v>56558</v>
      </c>
    </row>
    <row r="34" spans="1:5" x14ac:dyDescent="0.2">
      <c r="B34" s="96"/>
      <c r="C34" s="96"/>
      <c r="D34" s="96"/>
      <c r="E34" s="96"/>
    </row>
    <row r="35" spans="1:5" x14ac:dyDescent="0.2">
      <c r="A35" t="s">
        <v>100</v>
      </c>
      <c r="B35" s="96">
        <v>56318</v>
      </c>
      <c r="C35" s="96">
        <v>3500</v>
      </c>
      <c r="D35" s="96">
        <v>1380</v>
      </c>
      <c r="E35" s="96">
        <f t="shared" si="0"/>
        <v>61198</v>
      </c>
    </row>
    <row r="36" spans="1:5" x14ac:dyDescent="0.2">
      <c r="B36" s="96"/>
      <c r="C36" s="96"/>
      <c r="D36" s="96"/>
      <c r="E36" s="96"/>
    </row>
    <row r="37" spans="1:5" x14ac:dyDescent="0.2">
      <c r="A37" t="s">
        <v>1354</v>
      </c>
      <c r="B37" s="96">
        <v>42017</v>
      </c>
      <c r="C37" s="96">
        <v>0</v>
      </c>
      <c r="D37" s="96">
        <f>500+480+360+2000</f>
        <v>3340</v>
      </c>
      <c r="E37" s="96">
        <f t="shared" si="0"/>
        <v>45357</v>
      </c>
    </row>
    <row r="38" spans="1:5" x14ac:dyDescent="0.2">
      <c r="B38" s="96"/>
      <c r="C38" s="96"/>
      <c r="D38" s="96"/>
      <c r="E38" s="96"/>
    </row>
    <row r="39" spans="1:5" x14ac:dyDescent="0.2">
      <c r="A39" t="s">
        <v>1355</v>
      </c>
      <c r="B39" s="96">
        <f>+B37</f>
        <v>42017</v>
      </c>
      <c r="C39" s="96">
        <v>0</v>
      </c>
      <c r="D39" s="96">
        <f>500+480+1320</f>
        <v>2300</v>
      </c>
      <c r="E39" s="96">
        <f t="shared" si="0"/>
        <v>44317</v>
      </c>
    </row>
    <row r="40" spans="1:5" x14ac:dyDescent="0.2">
      <c r="B40" s="96"/>
      <c r="C40" s="96"/>
      <c r="D40" s="96"/>
      <c r="E40" s="96"/>
    </row>
    <row r="41" spans="1:5" x14ac:dyDescent="0.2">
      <c r="A41" t="s">
        <v>1356</v>
      </c>
      <c r="B41" s="96">
        <f>+B39</f>
        <v>42017</v>
      </c>
      <c r="C41" s="96">
        <v>0</v>
      </c>
      <c r="D41" s="96">
        <f>500+480+360+2000</f>
        <v>3340</v>
      </c>
      <c r="E41" s="96">
        <f t="shared" si="0"/>
        <v>45357</v>
      </c>
    </row>
    <row r="42" spans="1:5" x14ac:dyDescent="0.2">
      <c r="B42" s="96"/>
      <c r="C42" s="96"/>
      <c r="D42" s="96"/>
      <c r="E42" s="96"/>
    </row>
    <row r="43" spans="1:5" x14ac:dyDescent="0.2">
      <c r="A43" t="s">
        <v>1357</v>
      </c>
      <c r="B43" s="96">
        <f>+B41</f>
        <v>42017</v>
      </c>
      <c r="C43" s="96">
        <v>0</v>
      </c>
      <c r="D43" s="96">
        <f>500+480+360+2000</f>
        <v>3340</v>
      </c>
      <c r="E43" s="96">
        <f t="shared" si="0"/>
        <v>45357</v>
      </c>
    </row>
    <row r="44" spans="1:5" x14ac:dyDescent="0.2">
      <c r="B44" s="96"/>
      <c r="C44" s="96"/>
      <c r="D44" s="96"/>
      <c r="E44" s="96"/>
    </row>
    <row r="45" spans="1:5" x14ac:dyDescent="0.2">
      <c r="A45" t="s">
        <v>1358</v>
      </c>
      <c r="B45" s="96">
        <v>85276</v>
      </c>
      <c r="C45" s="96">
        <v>0</v>
      </c>
      <c r="D45" s="96">
        <f>780+480+1140+1400+1500</f>
        <v>5300</v>
      </c>
      <c r="E45" s="96">
        <f t="shared" si="0"/>
        <v>90576</v>
      </c>
    </row>
    <row r="46" spans="1:5" x14ac:dyDescent="0.2">
      <c r="B46" s="8" t="s">
        <v>1433</v>
      </c>
      <c r="C46" s="8"/>
      <c r="D46" s="8"/>
      <c r="E46" s="8"/>
    </row>
    <row r="47" spans="1:5" x14ac:dyDescent="0.2">
      <c r="B47" s="8"/>
      <c r="C47" s="8"/>
      <c r="D47" s="8"/>
      <c r="E47" s="8"/>
    </row>
    <row r="48" spans="1:5" x14ac:dyDescent="0.2">
      <c r="B48" s="8"/>
      <c r="C48" s="8"/>
      <c r="D48" s="8"/>
      <c r="E48" s="8"/>
    </row>
  </sheetData>
  <mergeCells count="1">
    <mergeCell ref="A4:E4"/>
  </mergeCells>
  <phoneticPr fontId="2" type="noConversion"/>
  <pageMargins left="0.75" right="0.75" top="1" bottom="1" header="0.5" footer="0.5"/>
  <pageSetup firstPageNumber="66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30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3.1406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t="s">
        <v>1433</v>
      </c>
      <c r="B1" s="4" t="s">
        <v>653</v>
      </c>
    </row>
    <row r="2" spans="1:9" x14ac:dyDescent="0.2">
      <c r="B2" s="4" t="s">
        <v>982</v>
      </c>
    </row>
    <row r="4" spans="1:9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202" t="s">
        <v>2457</v>
      </c>
      <c r="B5" s="4" t="s">
        <v>313</v>
      </c>
    </row>
    <row r="6" spans="1:9" x14ac:dyDescent="0.2">
      <c r="A6" t="s">
        <v>1454</v>
      </c>
      <c r="B6" s="126" t="s">
        <v>2056</v>
      </c>
      <c r="C6" s="115">
        <v>1650</v>
      </c>
      <c r="D6" s="115">
        <v>2680</v>
      </c>
      <c r="E6" s="115">
        <v>570</v>
      </c>
      <c r="F6" s="115">
        <v>1540</v>
      </c>
      <c r="G6" s="115">
        <v>1590</v>
      </c>
      <c r="H6" s="10">
        <v>1500</v>
      </c>
      <c r="I6" s="10">
        <f>+H6</f>
        <v>1500</v>
      </c>
    </row>
    <row r="7" spans="1:9" hidden="1" x14ac:dyDescent="0.2">
      <c r="B7" s="126" t="s">
        <v>2057</v>
      </c>
      <c r="C7" s="115">
        <v>0</v>
      </c>
      <c r="D7" s="115">
        <v>0</v>
      </c>
      <c r="E7" s="115">
        <v>0</v>
      </c>
      <c r="F7" s="115">
        <v>0</v>
      </c>
      <c r="G7" s="115">
        <v>0</v>
      </c>
      <c r="H7" s="10">
        <v>0</v>
      </c>
      <c r="I7" s="10">
        <f>+H7</f>
        <v>0</v>
      </c>
    </row>
    <row r="8" spans="1:9" x14ac:dyDescent="0.2">
      <c r="A8" t="s">
        <v>1455</v>
      </c>
      <c r="B8" s="126" t="s">
        <v>1761</v>
      </c>
      <c r="C8" s="221">
        <v>63.85</v>
      </c>
      <c r="D8" s="221">
        <v>46.32</v>
      </c>
      <c r="E8" s="221">
        <v>45.57</v>
      </c>
      <c r="F8" s="221">
        <v>64.400000000000006</v>
      </c>
      <c r="G8" s="221">
        <v>66.650000000000006</v>
      </c>
      <c r="H8" s="10">
        <v>10</v>
      </c>
      <c r="I8" s="10">
        <f>+H8</f>
        <v>10</v>
      </c>
    </row>
    <row r="9" spans="1:9" ht="13.5" thickBot="1" x14ac:dyDescent="0.25">
      <c r="B9" s="6" t="s">
        <v>137</v>
      </c>
      <c r="C9" s="228">
        <f t="shared" ref="C9:G9" si="0">SUM(C6:C8)</f>
        <v>1713.85</v>
      </c>
      <c r="D9" s="228">
        <f t="shared" si="0"/>
        <v>2726.32</v>
      </c>
      <c r="E9" s="228">
        <f t="shared" si="0"/>
        <v>615.57000000000005</v>
      </c>
      <c r="F9" s="228">
        <f t="shared" si="0"/>
        <v>1604.4</v>
      </c>
      <c r="G9" s="228">
        <f t="shared" si="0"/>
        <v>1656.65</v>
      </c>
      <c r="H9" s="135">
        <f t="shared" ref="H9:I9" si="1">SUM(H6:H8)</f>
        <v>1510</v>
      </c>
      <c r="I9" s="135">
        <f t="shared" si="1"/>
        <v>1510</v>
      </c>
    </row>
    <row r="10" spans="1:9" ht="13.5" thickTop="1" x14ac:dyDescent="0.2">
      <c r="B10" s="6"/>
      <c r="C10" s="115"/>
      <c r="D10" s="115"/>
      <c r="E10" s="115"/>
      <c r="F10" s="115"/>
      <c r="G10" s="115"/>
      <c r="H10" s="10"/>
      <c r="I10" s="10"/>
    </row>
    <row r="11" spans="1:9" x14ac:dyDescent="0.2">
      <c r="A11" s="202" t="s">
        <v>2456</v>
      </c>
      <c r="B11" s="4" t="s">
        <v>861</v>
      </c>
      <c r="C11" s="10"/>
      <c r="D11" s="10"/>
      <c r="E11" s="10"/>
      <c r="F11" s="10"/>
      <c r="G11" s="10"/>
      <c r="H11" s="10"/>
      <c r="I11" s="10"/>
    </row>
    <row r="12" spans="1:9" x14ac:dyDescent="0.2">
      <c r="A12" t="s">
        <v>539</v>
      </c>
      <c r="B12" s="126" t="s">
        <v>1895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f t="shared" ref="H12:I13" si="2">+G12</f>
        <v>0</v>
      </c>
      <c r="I12" s="10">
        <f t="shared" si="2"/>
        <v>0</v>
      </c>
    </row>
    <row r="13" spans="1:9" x14ac:dyDescent="0.2">
      <c r="A13" t="s">
        <v>1300</v>
      </c>
      <c r="B13" s="126" t="s">
        <v>2058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1000</v>
      </c>
      <c r="I13" s="10">
        <f t="shared" si="2"/>
        <v>1000</v>
      </c>
    </row>
    <row r="14" spans="1:9" x14ac:dyDescent="0.2">
      <c r="A14" t="s">
        <v>1301</v>
      </c>
      <c r="B14" s="126" t="s">
        <v>1878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500</v>
      </c>
      <c r="I14" s="10">
        <v>2000</v>
      </c>
    </row>
    <row r="15" spans="1:9" ht="13.5" thickBot="1" x14ac:dyDescent="0.25">
      <c r="B15" s="6" t="s">
        <v>1341</v>
      </c>
      <c r="C15" s="135">
        <f t="shared" ref="C15:G15" si="3">SUM(C12:C14)</f>
        <v>0</v>
      </c>
      <c r="D15" s="135">
        <f t="shared" si="3"/>
        <v>0</v>
      </c>
      <c r="E15" s="135">
        <f t="shared" si="3"/>
        <v>0</v>
      </c>
      <c r="F15" s="135">
        <f t="shared" si="3"/>
        <v>0</v>
      </c>
      <c r="G15" s="135">
        <f t="shared" si="3"/>
        <v>0</v>
      </c>
      <c r="H15" s="135">
        <f t="shared" ref="H15:I15" si="4">SUM(H12:H14)</f>
        <v>1500</v>
      </c>
      <c r="I15" s="135">
        <f t="shared" si="4"/>
        <v>3000</v>
      </c>
    </row>
    <row r="16" spans="1:9" ht="13.5" thickTop="1" x14ac:dyDescent="0.2">
      <c r="A16" t="s">
        <v>1433</v>
      </c>
      <c r="C16" s="10"/>
      <c r="D16" s="10"/>
      <c r="E16" s="10"/>
      <c r="F16" s="10"/>
      <c r="G16" s="10"/>
      <c r="H16" s="10"/>
      <c r="I16" s="10"/>
    </row>
    <row r="17" spans="1:9" x14ac:dyDescent="0.2">
      <c r="C17" s="10"/>
      <c r="D17" s="10"/>
      <c r="E17" s="10"/>
      <c r="F17" s="10"/>
      <c r="G17" s="10"/>
      <c r="H17" s="10"/>
      <c r="I17" s="10"/>
    </row>
    <row r="18" spans="1:9" x14ac:dyDescent="0.2">
      <c r="B18" s="4" t="s">
        <v>1342</v>
      </c>
      <c r="C18" s="10"/>
      <c r="D18" s="10"/>
      <c r="E18" s="10"/>
      <c r="F18" s="10"/>
      <c r="G18" s="10"/>
      <c r="H18" s="10"/>
      <c r="I18" s="10"/>
    </row>
    <row r="19" spans="1:9" x14ac:dyDescent="0.2">
      <c r="B19" s="4" t="s">
        <v>982</v>
      </c>
      <c r="C19" s="10"/>
      <c r="D19" s="10"/>
      <c r="E19" s="10"/>
      <c r="F19" s="10"/>
      <c r="G19" s="10"/>
      <c r="H19" s="10"/>
      <c r="I19" s="10"/>
    </row>
    <row r="20" spans="1:9" x14ac:dyDescent="0.2">
      <c r="B20" s="4" t="s">
        <v>1343</v>
      </c>
      <c r="C20" s="10"/>
      <c r="D20" s="10"/>
      <c r="E20" s="10"/>
      <c r="F20" s="10"/>
      <c r="G20" s="10"/>
      <c r="H20" s="10"/>
      <c r="I20" s="10"/>
    </row>
    <row r="21" spans="1:9" x14ac:dyDescent="0.2">
      <c r="B21" s="6"/>
      <c r="C21" s="129" t="str">
        <f t="shared" ref="C21:G21" si="5">+C4</f>
        <v>2018 ACTUAL</v>
      </c>
      <c r="D21" s="129" t="str">
        <f t="shared" si="5"/>
        <v>2019 ACTUAL</v>
      </c>
      <c r="E21" s="129" t="str">
        <f t="shared" si="5"/>
        <v>2020 ACTUAL</v>
      </c>
      <c r="F21" s="129" t="str">
        <f t="shared" si="5"/>
        <v>2021 ACTUAL</v>
      </c>
      <c r="G21" s="129" t="str">
        <f t="shared" si="5"/>
        <v>2022 ACTUAL</v>
      </c>
      <c r="H21" s="129" t="str">
        <f t="shared" ref="H21:I21" si="6">+H4</f>
        <v xml:space="preserve">2023 BUDGET </v>
      </c>
      <c r="I21" s="129" t="str">
        <f t="shared" si="6"/>
        <v xml:space="preserve">2024 BUDGET </v>
      </c>
    </row>
    <row r="22" spans="1:9" x14ac:dyDescent="0.2">
      <c r="C22" s="10"/>
      <c r="D22" s="10"/>
      <c r="E22" s="10"/>
      <c r="F22" s="10"/>
      <c r="G22" s="10"/>
      <c r="H22" s="10"/>
      <c r="I22" s="10"/>
    </row>
    <row r="23" spans="1:9" x14ac:dyDescent="0.2">
      <c r="B23" t="s">
        <v>2436</v>
      </c>
      <c r="C23" s="10">
        <v>16465.63</v>
      </c>
      <c r="D23" s="10">
        <f t="shared" ref="D23:I23" si="7">C29</f>
        <v>18179.48</v>
      </c>
      <c r="E23" s="10">
        <f t="shared" si="7"/>
        <v>20905.8</v>
      </c>
      <c r="F23" s="10">
        <f t="shared" si="7"/>
        <v>21521.37</v>
      </c>
      <c r="G23" s="10">
        <f t="shared" si="7"/>
        <v>23125.77</v>
      </c>
      <c r="H23" s="10">
        <f t="shared" si="7"/>
        <v>24782.420000000002</v>
      </c>
      <c r="I23" s="10">
        <f t="shared" si="7"/>
        <v>24792.420000000002</v>
      </c>
    </row>
    <row r="24" spans="1:9" x14ac:dyDescent="0.2">
      <c r="C24" s="10"/>
      <c r="D24" s="10"/>
      <c r="E24" s="10"/>
      <c r="F24" s="10"/>
      <c r="G24" s="10"/>
      <c r="H24" s="10"/>
      <c r="I24" s="10"/>
    </row>
    <row r="25" spans="1:9" x14ac:dyDescent="0.2">
      <c r="B25" t="s">
        <v>113</v>
      </c>
      <c r="C25" s="10">
        <f t="shared" ref="C25:G25" si="8">C9</f>
        <v>1713.85</v>
      </c>
      <c r="D25" s="10">
        <f t="shared" si="8"/>
        <v>2726.32</v>
      </c>
      <c r="E25" s="10">
        <f t="shared" si="8"/>
        <v>615.57000000000005</v>
      </c>
      <c r="F25" s="10">
        <f t="shared" si="8"/>
        <v>1604.4</v>
      </c>
      <c r="G25" s="10">
        <f t="shared" si="8"/>
        <v>1656.65</v>
      </c>
      <c r="H25" s="10">
        <f t="shared" ref="H25:I25" si="9">H9</f>
        <v>1510</v>
      </c>
      <c r="I25" s="10">
        <f t="shared" si="9"/>
        <v>1510</v>
      </c>
    </row>
    <row r="26" spans="1:9" x14ac:dyDescent="0.2">
      <c r="C26" s="10"/>
      <c r="D26" s="10"/>
      <c r="E26" s="10"/>
      <c r="F26" s="10"/>
      <c r="G26" s="10"/>
      <c r="H26" s="10"/>
      <c r="I26" s="10"/>
    </row>
    <row r="27" spans="1:9" x14ac:dyDescent="0.2">
      <c r="A27" t="s">
        <v>1433</v>
      </c>
      <c r="B27" t="s">
        <v>1427</v>
      </c>
      <c r="C27" s="12">
        <f t="shared" ref="C27:G27" si="10">C15</f>
        <v>0</v>
      </c>
      <c r="D27" s="12">
        <f t="shared" si="10"/>
        <v>0</v>
      </c>
      <c r="E27" s="12">
        <f t="shared" si="10"/>
        <v>0</v>
      </c>
      <c r="F27" s="12">
        <f t="shared" si="10"/>
        <v>0</v>
      </c>
      <c r="G27" s="12">
        <f t="shared" si="10"/>
        <v>0</v>
      </c>
      <c r="H27" s="12">
        <f t="shared" ref="H27:I27" si="11">H15</f>
        <v>1500</v>
      </c>
      <c r="I27" s="12">
        <f t="shared" si="11"/>
        <v>3000</v>
      </c>
    </row>
    <row r="28" spans="1:9" x14ac:dyDescent="0.2">
      <c r="C28" s="10"/>
      <c r="D28" s="10"/>
      <c r="E28" s="10"/>
      <c r="F28" s="10"/>
      <c r="G28" s="10"/>
      <c r="H28" s="10"/>
      <c r="I28" s="10"/>
    </row>
    <row r="29" spans="1:9" ht="13.5" thickBot="1" x14ac:dyDescent="0.25">
      <c r="A29" t="s">
        <v>1433</v>
      </c>
      <c r="B29" t="s">
        <v>1348</v>
      </c>
      <c r="C29" s="36">
        <f t="shared" ref="C29:G29" si="12">C23+C25-C27</f>
        <v>18179.48</v>
      </c>
      <c r="D29" s="36">
        <f t="shared" si="12"/>
        <v>20905.8</v>
      </c>
      <c r="E29" s="36">
        <f t="shared" si="12"/>
        <v>21521.37</v>
      </c>
      <c r="F29" s="36">
        <f t="shared" si="12"/>
        <v>23125.77</v>
      </c>
      <c r="G29" s="36">
        <f t="shared" si="12"/>
        <v>24782.420000000002</v>
      </c>
      <c r="H29" s="36">
        <f t="shared" ref="H29:I29" si="13">H23+H25-H27</f>
        <v>24792.420000000002</v>
      </c>
      <c r="I29" s="36">
        <f t="shared" si="13"/>
        <v>23302.420000000002</v>
      </c>
    </row>
    <row r="30" spans="1:9" ht="13.5" thickTop="1" x14ac:dyDescent="0.2"/>
    <row r="130" spans="3:7" x14ac:dyDescent="0.2">
      <c r="C130" s="9"/>
      <c r="D130" s="9"/>
      <c r="E130" s="9"/>
      <c r="F130" s="9"/>
      <c r="G130" s="9"/>
    </row>
  </sheetData>
  <phoneticPr fontId="2" type="noConversion"/>
  <pageMargins left="0.5" right="0.5" top="1" bottom="1" header="0.5" footer="0.5"/>
  <pageSetup scale="78" firstPageNumber="20" fitToWidth="0" fitToHeight="0" orientation="portrait" useFirstPageNumber="1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3.285156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t="s">
        <v>1433</v>
      </c>
      <c r="B1" s="4" t="s">
        <v>653</v>
      </c>
    </row>
    <row r="2" spans="1:9" x14ac:dyDescent="0.2">
      <c r="B2" s="4" t="s">
        <v>1763</v>
      </c>
    </row>
    <row r="4" spans="1:9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B5" s="4" t="s">
        <v>313</v>
      </c>
    </row>
    <row r="6" spans="1:9" x14ac:dyDescent="0.2">
      <c r="A6" s="39" t="s">
        <v>1764</v>
      </c>
      <c r="B6" s="126" t="s">
        <v>1827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f>+G6</f>
        <v>0</v>
      </c>
      <c r="I6" s="10">
        <f>+H6</f>
        <v>0</v>
      </c>
    </row>
    <row r="7" spans="1:9" x14ac:dyDescent="0.2">
      <c r="A7" s="39" t="s">
        <v>1765</v>
      </c>
      <c r="B7" s="126" t="s">
        <v>1828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f>+G7</f>
        <v>0</v>
      </c>
      <c r="I7" s="10">
        <f>+H7</f>
        <v>0</v>
      </c>
    </row>
    <row r="8" spans="1:9" x14ac:dyDescent="0.2">
      <c r="A8" s="39" t="s">
        <v>1766</v>
      </c>
      <c r="B8" s="126" t="s">
        <v>1761</v>
      </c>
      <c r="C8" s="12">
        <v>7591.79</v>
      </c>
      <c r="D8" s="12">
        <v>11454.48</v>
      </c>
      <c r="E8" s="12">
        <v>6670.76</v>
      </c>
      <c r="F8" s="12">
        <v>1308.4000000000001</v>
      </c>
      <c r="G8" s="12">
        <v>668.97</v>
      </c>
      <c r="H8" s="10">
        <v>0</v>
      </c>
      <c r="I8" s="10">
        <f>+H8</f>
        <v>0</v>
      </c>
    </row>
    <row r="9" spans="1:9" ht="13.5" thickBot="1" x14ac:dyDescent="0.25">
      <c r="B9" s="6" t="s">
        <v>137</v>
      </c>
      <c r="C9" s="135">
        <f t="shared" ref="C9:G9" si="0">SUM(C6:C8)</f>
        <v>7591.79</v>
      </c>
      <c r="D9" s="135">
        <f t="shared" si="0"/>
        <v>11454.48</v>
      </c>
      <c r="E9" s="135">
        <f t="shared" si="0"/>
        <v>6670.76</v>
      </c>
      <c r="F9" s="135">
        <f t="shared" si="0"/>
        <v>1308.4000000000001</v>
      </c>
      <c r="G9" s="135">
        <f t="shared" si="0"/>
        <v>668.97</v>
      </c>
      <c r="H9" s="135">
        <f t="shared" ref="H9:I9" si="1">SUM(H6:H8)</f>
        <v>0</v>
      </c>
      <c r="I9" s="135">
        <f t="shared" si="1"/>
        <v>0</v>
      </c>
    </row>
    <row r="10" spans="1:9" ht="13.5" thickTop="1" x14ac:dyDescent="0.2">
      <c r="B10" s="6"/>
      <c r="C10" s="10"/>
      <c r="D10" s="10"/>
      <c r="E10" s="10"/>
      <c r="F10" s="10"/>
      <c r="G10" s="10"/>
      <c r="H10" s="10"/>
      <c r="I10" s="10"/>
    </row>
    <row r="11" spans="1:9" x14ac:dyDescent="0.2">
      <c r="B11" s="4" t="s">
        <v>861</v>
      </c>
      <c r="C11" s="10"/>
      <c r="D11" s="10"/>
      <c r="E11" s="10"/>
      <c r="F11" s="10"/>
      <c r="G11" s="10"/>
      <c r="H11" s="10"/>
      <c r="I11" s="10"/>
    </row>
    <row r="12" spans="1:9" x14ac:dyDescent="0.2"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</row>
    <row r="13" spans="1:9" x14ac:dyDescent="0.2"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</row>
    <row r="14" spans="1:9" x14ac:dyDescent="0.2"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ht="13.5" thickBot="1" x14ac:dyDescent="0.25">
      <c r="B15" s="6" t="s">
        <v>1341</v>
      </c>
      <c r="C15" s="135">
        <f t="shared" ref="C15:G15" si="2">SUM(C12:C14)</f>
        <v>0</v>
      </c>
      <c r="D15" s="135">
        <f t="shared" si="2"/>
        <v>0</v>
      </c>
      <c r="E15" s="135">
        <f t="shared" si="2"/>
        <v>0</v>
      </c>
      <c r="F15" s="135">
        <f t="shared" si="2"/>
        <v>0</v>
      </c>
      <c r="G15" s="135">
        <f t="shared" si="2"/>
        <v>0</v>
      </c>
      <c r="H15" s="135">
        <f t="shared" ref="H15:I15" si="3">SUM(H12:H14)</f>
        <v>0</v>
      </c>
      <c r="I15" s="135">
        <f t="shared" si="3"/>
        <v>0</v>
      </c>
    </row>
    <row r="16" spans="1:9" ht="13.5" thickTop="1" x14ac:dyDescent="0.2">
      <c r="A16" t="s">
        <v>1433</v>
      </c>
      <c r="C16" s="10"/>
      <c r="D16" s="10"/>
      <c r="E16" s="10"/>
      <c r="F16" s="10"/>
      <c r="G16" s="10"/>
      <c r="H16" s="10"/>
      <c r="I16" s="10"/>
    </row>
    <row r="17" spans="1:9" x14ac:dyDescent="0.2">
      <c r="C17" s="10"/>
      <c r="D17" s="10"/>
      <c r="E17" s="10"/>
      <c r="F17" s="10"/>
      <c r="G17" s="10"/>
      <c r="H17" s="10"/>
      <c r="I17" s="10"/>
    </row>
    <row r="18" spans="1:9" x14ac:dyDescent="0.2">
      <c r="B18" s="4" t="s">
        <v>1342</v>
      </c>
      <c r="C18" s="10"/>
      <c r="D18" s="10"/>
      <c r="E18" s="10"/>
      <c r="F18" s="10"/>
      <c r="G18" s="10"/>
      <c r="H18" s="10"/>
      <c r="I18" s="10"/>
    </row>
    <row r="19" spans="1:9" x14ac:dyDescent="0.2">
      <c r="B19" s="4" t="s">
        <v>1767</v>
      </c>
      <c r="C19" s="10"/>
      <c r="D19" s="10"/>
      <c r="E19" s="10"/>
      <c r="F19" s="10"/>
      <c r="G19" s="10"/>
      <c r="H19" s="10"/>
      <c r="I19" s="10"/>
    </row>
    <row r="20" spans="1:9" x14ac:dyDescent="0.2">
      <c r="B20" s="4" t="s">
        <v>1343</v>
      </c>
      <c r="C20" s="10"/>
      <c r="D20" s="10"/>
      <c r="E20" s="10"/>
      <c r="F20" s="10"/>
      <c r="G20" s="10"/>
      <c r="H20" s="10"/>
      <c r="I20" s="10"/>
    </row>
    <row r="21" spans="1:9" x14ac:dyDescent="0.2">
      <c r="B21" s="6"/>
      <c r="C21" s="129" t="str">
        <f t="shared" ref="C21:G21" si="4">+C4</f>
        <v>2018 ACTUAL</v>
      </c>
      <c r="D21" s="129" t="str">
        <f t="shared" si="4"/>
        <v>2019 ACTUAL</v>
      </c>
      <c r="E21" s="129" t="str">
        <f t="shared" si="4"/>
        <v>2020 ACTUAL</v>
      </c>
      <c r="F21" s="129" t="str">
        <f t="shared" si="4"/>
        <v>2021 ACTUAL</v>
      </c>
      <c r="G21" s="129" t="str">
        <f t="shared" si="4"/>
        <v>2022 ACTUAL</v>
      </c>
      <c r="H21" s="129" t="str">
        <f t="shared" ref="H21:I21" si="5">+H4</f>
        <v xml:space="preserve">2023 BUDGET </v>
      </c>
      <c r="I21" s="129" t="str">
        <f t="shared" si="5"/>
        <v xml:space="preserve">2024 BUDGET </v>
      </c>
    </row>
    <row r="22" spans="1:9" x14ac:dyDescent="0.2">
      <c r="C22" s="10"/>
      <c r="D22" s="10"/>
      <c r="E22" s="10"/>
      <c r="F22" s="10"/>
      <c r="G22" s="10"/>
      <c r="H22" s="10"/>
      <c r="I22" s="10"/>
    </row>
    <row r="23" spans="1:9" x14ac:dyDescent="0.2">
      <c r="B23" s="39" t="s">
        <v>2436</v>
      </c>
      <c r="C23" s="10">
        <v>3236.48</v>
      </c>
      <c r="D23" s="10">
        <f t="shared" ref="D23:I23" si="6">+C31</f>
        <v>10828.27</v>
      </c>
      <c r="E23" s="10">
        <f t="shared" si="6"/>
        <v>22282.75</v>
      </c>
      <c r="F23" s="10">
        <f t="shared" si="6"/>
        <v>28953.510000000002</v>
      </c>
      <c r="G23" s="10">
        <f t="shared" si="6"/>
        <v>30261.910000000003</v>
      </c>
      <c r="H23" s="10">
        <f t="shared" si="6"/>
        <v>30930.880000000005</v>
      </c>
      <c r="I23" s="10">
        <f t="shared" si="6"/>
        <v>30930.880000000005</v>
      </c>
    </row>
    <row r="24" spans="1:9" x14ac:dyDescent="0.2">
      <c r="C24" s="10"/>
      <c r="D24" s="10"/>
      <c r="E24" s="10"/>
      <c r="F24" s="10"/>
      <c r="G24" s="10"/>
      <c r="H24" s="10"/>
      <c r="I24" s="10"/>
    </row>
    <row r="25" spans="1:9" x14ac:dyDescent="0.2">
      <c r="B25" t="s">
        <v>113</v>
      </c>
      <c r="C25" s="10">
        <f t="shared" ref="C25:G25" si="7">C9</f>
        <v>7591.79</v>
      </c>
      <c r="D25" s="10">
        <f t="shared" si="7"/>
        <v>11454.48</v>
      </c>
      <c r="E25" s="10">
        <f t="shared" si="7"/>
        <v>6670.76</v>
      </c>
      <c r="F25" s="10">
        <f t="shared" si="7"/>
        <v>1308.4000000000001</v>
      </c>
      <c r="G25" s="10">
        <f t="shared" si="7"/>
        <v>668.97</v>
      </c>
      <c r="H25" s="10">
        <f t="shared" ref="H25:I25" si="8">H9</f>
        <v>0</v>
      </c>
      <c r="I25" s="10">
        <f t="shared" si="8"/>
        <v>0</v>
      </c>
    </row>
    <row r="26" spans="1:9" x14ac:dyDescent="0.2">
      <c r="C26" s="10"/>
      <c r="D26" s="10"/>
      <c r="E26" s="10"/>
      <c r="F26" s="10"/>
      <c r="G26" s="10"/>
      <c r="H26" s="10"/>
      <c r="I26" s="10"/>
    </row>
    <row r="27" spans="1:9" x14ac:dyDescent="0.2">
      <c r="A27" s="16"/>
      <c r="B27" t="s">
        <v>1346</v>
      </c>
      <c r="C27" s="10">
        <f t="shared" ref="C27:G27" si="9">C15</f>
        <v>0</v>
      </c>
      <c r="D27" s="10">
        <f t="shared" si="9"/>
        <v>0</v>
      </c>
      <c r="E27" s="10">
        <f t="shared" si="9"/>
        <v>0</v>
      </c>
      <c r="F27" s="10">
        <f t="shared" si="9"/>
        <v>0</v>
      </c>
      <c r="G27" s="10">
        <f t="shared" si="9"/>
        <v>0</v>
      </c>
      <c r="H27" s="10">
        <f t="shared" ref="H27:I27" si="10">H15</f>
        <v>0</v>
      </c>
      <c r="I27" s="10">
        <f t="shared" si="10"/>
        <v>0</v>
      </c>
    </row>
    <row r="28" spans="1:9" x14ac:dyDescent="0.2">
      <c r="A28" s="16"/>
      <c r="C28" s="10"/>
      <c r="D28" s="10"/>
      <c r="E28" s="10"/>
      <c r="F28" s="10"/>
      <c r="G28" s="10"/>
      <c r="H28" s="10"/>
      <c r="I28" s="10"/>
    </row>
    <row r="29" spans="1:9" x14ac:dyDescent="0.2">
      <c r="A29" s="16"/>
      <c r="B29" t="s">
        <v>1347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x14ac:dyDescent="0.2">
      <c r="C30" s="10"/>
      <c r="D30" s="10"/>
      <c r="E30" s="10"/>
      <c r="F30" s="10"/>
      <c r="G30" s="10"/>
      <c r="H30" s="10"/>
      <c r="I30" s="10"/>
    </row>
    <row r="31" spans="1:9" ht="13.5" thickBot="1" x14ac:dyDescent="0.25">
      <c r="A31" s="16"/>
      <c r="B31" t="s">
        <v>1348</v>
      </c>
      <c r="C31" s="36">
        <f t="shared" ref="C31:G31" si="11">C23+C25-C27+C29</f>
        <v>10828.27</v>
      </c>
      <c r="D31" s="36">
        <f t="shared" si="11"/>
        <v>22282.75</v>
      </c>
      <c r="E31" s="36">
        <f t="shared" si="11"/>
        <v>28953.510000000002</v>
      </c>
      <c r="F31" s="36">
        <f t="shared" si="11"/>
        <v>30261.910000000003</v>
      </c>
      <c r="G31" s="36">
        <f t="shared" si="11"/>
        <v>30930.880000000005</v>
      </c>
      <c r="H31" s="36">
        <f t="shared" ref="H31:I31" si="12">H23+H25-H27+H29</f>
        <v>30930.880000000005</v>
      </c>
      <c r="I31" s="36">
        <f t="shared" si="12"/>
        <v>30930.880000000005</v>
      </c>
    </row>
    <row r="32" spans="1:9" ht="13.5" thickTop="1" x14ac:dyDescent="0.2"/>
    <row r="130" spans="3:7" x14ac:dyDescent="0.2">
      <c r="C130" s="9"/>
      <c r="D130" s="9"/>
      <c r="E130" s="9"/>
      <c r="F130" s="9"/>
      <c r="G130" s="9"/>
    </row>
  </sheetData>
  <pageMargins left="0.5" right="0.5" top="1" bottom="1" header="0.5" footer="0.5"/>
  <pageSetup scale="78" firstPageNumber="21" fitToHeight="0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133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5.42578125" style="108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  <col min="13" max="13" width="12.85546875" bestFit="1" customWidth="1"/>
    <col min="15" max="15" width="11.28515625" bestFit="1" customWidth="1"/>
  </cols>
  <sheetData>
    <row r="1" spans="1:9" x14ac:dyDescent="0.2">
      <c r="A1" s="16" t="s">
        <v>1433</v>
      </c>
      <c r="B1" s="4" t="s">
        <v>1342</v>
      </c>
      <c r="C1" s="1" t="s">
        <v>1433</v>
      </c>
      <c r="D1" s="138" t="s">
        <v>1433</v>
      </c>
      <c r="E1" s="1" t="s">
        <v>1433</v>
      </c>
      <c r="F1" s="1" t="s">
        <v>1433</v>
      </c>
      <c r="G1" s="1" t="s">
        <v>1433</v>
      </c>
      <c r="H1" s="1"/>
      <c r="I1" s="1"/>
    </row>
    <row r="2" spans="1:9" x14ac:dyDescent="0.2">
      <c r="A2" s="16"/>
      <c r="B2" s="4" t="s">
        <v>983</v>
      </c>
      <c r="C2" s="1" t="s">
        <v>1433</v>
      </c>
      <c r="D2" s="138" t="s">
        <v>1433</v>
      </c>
      <c r="E2" s="1" t="s">
        <v>1433</v>
      </c>
      <c r="F2" s="1" t="s">
        <v>1433</v>
      </c>
      <c r="G2" s="1" t="s">
        <v>1433</v>
      </c>
      <c r="H2" s="1"/>
      <c r="I2" s="1"/>
    </row>
    <row r="3" spans="1:9" x14ac:dyDescent="0.2">
      <c r="A3" s="16"/>
      <c r="B3" s="4" t="s">
        <v>313</v>
      </c>
      <c r="C3" s="1" t="s">
        <v>1433</v>
      </c>
      <c r="D3" s="138" t="s">
        <v>1433</v>
      </c>
      <c r="E3" s="1" t="s">
        <v>1433</v>
      </c>
      <c r="F3" s="1" t="s">
        <v>1433</v>
      </c>
      <c r="G3" s="1" t="s">
        <v>1433</v>
      </c>
      <c r="H3" s="1"/>
      <c r="I3" s="1"/>
    </row>
    <row r="4" spans="1:9" x14ac:dyDescent="0.2">
      <c r="A4" s="16"/>
      <c r="B4" s="4"/>
      <c r="C4" s="1"/>
      <c r="D4" s="138"/>
      <c r="E4" s="1"/>
      <c r="F4" s="1"/>
      <c r="G4" s="1"/>
      <c r="H4" s="1"/>
      <c r="I4" s="1"/>
    </row>
    <row r="5" spans="1:9" x14ac:dyDescent="0.2">
      <c r="A5" s="16"/>
      <c r="C5" s="7" t="str">
        <f>+'100-Genl'!C4</f>
        <v>2018 ACTUAL</v>
      </c>
      <c r="D5" s="139" t="str">
        <f>+'100-Genl'!D4</f>
        <v>2019 ACTUAL</v>
      </c>
      <c r="E5" s="7" t="str">
        <f>+'100-Genl'!E4</f>
        <v>2020 ACTUAL</v>
      </c>
      <c r="F5" s="7" t="str">
        <f>+'100-Genl'!F4</f>
        <v>2021 ACTUAL</v>
      </c>
      <c r="G5" s="7" t="str">
        <f>+'100-Genl'!G4</f>
        <v>2022 ACTUAL</v>
      </c>
      <c r="H5" s="7" t="str">
        <f>+'100-Genl'!H4</f>
        <v xml:space="preserve">2023 BUDGET </v>
      </c>
      <c r="I5" s="7" t="str">
        <f>+'100-Genl'!I4</f>
        <v xml:space="preserve">2024 BUDGET </v>
      </c>
    </row>
    <row r="6" spans="1:9" x14ac:dyDescent="0.2">
      <c r="A6" s="198" t="s">
        <v>985</v>
      </c>
      <c r="B6" s="4" t="s">
        <v>314</v>
      </c>
    </row>
    <row r="7" spans="1:9" x14ac:dyDescent="0.2">
      <c r="A7" s="16" t="s">
        <v>1456</v>
      </c>
      <c r="B7" s="126" t="s">
        <v>1827</v>
      </c>
      <c r="C7" s="18">
        <v>1601013.04</v>
      </c>
      <c r="D7" s="168">
        <v>2750635.08</v>
      </c>
      <c r="E7" s="18">
        <v>2957925.83</v>
      </c>
      <c r="F7" s="18">
        <v>3057388.28</v>
      </c>
      <c r="G7" s="18">
        <v>3787157.4</v>
      </c>
      <c r="H7" s="18">
        <v>4010905.7696550027</v>
      </c>
      <c r="I7" s="18">
        <f>intro!H379</f>
        <v>4615783.4232763778</v>
      </c>
    </row>
    <row r="8" spans="1:9" x14ac:dyDescent="0.2">
      <c r="A8" s="16" t="s">
        <v>1457</v>
      </c>
      <c r="B8" s="126" t="s">
        <v>1828</v>
      </c>
      <c r="C8" s="12">
        <v>71483.149999999994</v>
      </c>
      <c r="D8" s="169">
        <v>86266.15</v>
      </c>
      <c r="E8" s="12">
        <v>120729.83</v>
      </c>
      <c r="F8" s="12">
        <v>93187.1</v>
      </c>
      <c r="G8" s="12">
        <v>115990.42</v>
      </c>
      <c r="H8" s="12">
        <v>109200</v>
      </c>
      <c r="I8" s="12">
        <f>+intro!K389</f>
        <v>116220</v>
      </c>
    </row>
    <row r="9" spans="1:9" x14ac:dyDescent="0.2">
      <c r="A9" s="16"/>
      <c r="B9" s="6" t="s">
        <v>1118</v>
      </c>
      <c r="C9" s="38">
        <f t="shared" ref="C9:G9" si="0">SUM(C7:C8)</f>
        <v>1672496.19</v>
      </c>
      <c r="D9" s="167">
        <f t="shared" si="0"/>
        <v>2836901.23</v>
      </c>
      <c r="E9" s="38">
        <f t="shared" si="0"/>
        <v>3078655.66</v>
      </c>
      <c r="F9" s="38">
        <f t="shared" si="0"/>
        <v>3150575.38</v>
      </c>
      <c r="G9" s="38">
        <f t="shared" si="0"/>
        <v>3903147.82</v>
      </c>
      <c r="H9" s="38">
        <f>SUM(H7:H8)</f>
        <v>4120105.7696550027</v>
      </c>
      <c r="I9" s="38">
        <f>SUM(I7:I8)</f>
        <v>4732003.4232763778</v>
      </c>
    </row>
    <row r="10" spans="1:9" x14ac:dyDescent="0.2">
      <c r="C10" s="10"/>
      <c r="D10" s="159"/>
      <c r="E10" s="10"/>
      <c r="F10" s="10"/>
      <c r="G10" s="10"/>
      <c r="H10" s="10"/>
      <c r="I10" s="10"/>
    </row>
    <row r="11" spans="1:9" x14ac:dyDescent="0.2">
      <c r="A11" s="198" t="s">
        <v>986</v>
      </c>
      <c r="B11" s="4" t="s">
        <v>669</v>
      </c>
      <c r="C11" s="10"/>
      <c r="D11" s="159"/>
      <c r="E11" s="10"/>
      <c r="F11" s="10"/>
      <c r="G11" s="10"/>
      <c r="H11" s="10"/>
      <c r="I11" s="10"/>
    </row>
    <row r="12" spans="1:9" x14ac:dyDescent="0.2">
      <c r="A12" s="16" t="s">
        <v>1458</v>
      </c>
      <c r="B12" s="126" t="s">
        <v>2059</v>
      </c>
      <c r="C12" s="10">
        <v>640268</v>
      </c>
      <c r="D12" s="159">
        <v>644204.5</v>
      </c>
      <c r="E12" s="10">
        <v>630497.4</v>
      </c>
      <c r="F12" s="10">
        <v>623923.5</v>
      </c>
      <c r="G12" s="10">
        <v>663231.5</v>
      </c>
      <c r="H12" s="10">
        <v>630000</v>
      </c>
      <c r="I12" s="10">
        <f t="shared" ref="I12:I16" si="1">+H12</f>
        <v>630000</v>
      </c>
    </row>
    <row r="13" spans="1:9" x14ac:dyDescent="0.2">
      <c r="A13" s="16" t="s">
        <v>1459</v>
      </c>
      <c r="B13" s="126" t="s">
        <v>2060</v>
      </c>
      <c r="C13" s="10">
        <v>360367.83</v>
      </c>
      <c r="D13" s="159">
        <v>360918.61</v>
      </c>
      <c r="E13" s="10">
        <v>360054.2</v>
      </c>
      <c r="F13" s="10">
        <v>360711.74</v>
      </c>
      <c r="G13" s="10">
        <v>361008.52</v>
      </c>
      <c r="H13" s="10">
        <v>360000</v>
      </c>
      <c r="I13" s="10">
        <f t="shared" si="1"/>
        <v>360000</v>
      </c>
    </row>
    <row r="14" spans="1:9" x14ac:dyDescent="0.2">
      <c r="A14" s="16" t="s">
        <v>1460</v>
      </c>
      <c r="B14" s="126" t="s">
        <v>2061</v>
      </c>
      <c r="C14" s="10">
        <v>200</v>
      </c>
      <c r="D14" s="159">
        <v>200</v>
      </c>
      <c r="E14" s="10">
        <v>300</v>
      </c>
      <c r="F14" s="10">
        <v>700</v>
      </c>
      <c r="G14" s="10">
        <v>800</v>
      </c>
      <c r="H14" s="10">
        <v>200</v>
      </c>
      <c r="I14" s="10">
        <f t="shared" si="1"/>
        <v>200</v>
      </c>
    </row>
    <row r="15" spans="1:9" x14ac:dyDescent="0.2">
      <c r="A15" s="16" t="s">
        <v>1523</v>
      </c>
      <c r="B15" s="126" t="s">
        <v>2062</v>
      </c>
      <c r="C15" s="10">
        <v>15764.46</v>
      </c>
      <c r="D15" s="159">
        <v>22542.57</v>
      </c>
      <c r="E15" s="10">
        <v>23542.880000000001</v>
      </c>
      <c r="F15" s="10">
        <v>31278.09</v>
      </c>
      <c r="G15" s="10">
        <v>17010.7</v>
      </c>
      <c r="H15" s="10">
        <v>16000</v>
      </c>
      <c r="I15" s="10">
        <v>19000</v>
      </c>
    </row>
    <row r="16" spans="1:9" x14ac:dyDescent="0.2">
      <c r="A16" s="16" t="s">
        <v>1461</v>
      </c>
      <c r="B16" s="126" t="s">
        <v>2063</v>
      </c>
      <c r="C16" s="10">
        <v>400</v>
      </c>
      <c r="D16" s="159">
        <v>460</v>
      </c>
      <c r="E16" s="10">
        <v>720</v>
      </c>
      <c r="F16" s="10">
        <v>420</v>
      </c>
      <c r="G16" s="10">
        <v>360</v>
      </c>
      <c r="H16" s="10">
        <v>400</v>
      </c>
      <c r="I16" s="10">
        <f t="shared" si="1"/>
        <v>400</v>
      </c>
    </row>
    <row r="17" spans="1:9" x14ac:dyDescent="0.2">
      <c r="A17" s="16"/>
      <c r="B17" s="6" t="s">
        <v>1118</v>
      </c>
      <c r="C17" s="38">
        <f t="shared" ref="C17:G17" si="2">SUM(C12:C16)</f>
        <v>1017000.29</v>
      </c>
      <c r="D17" s="167">
        <f t="shared" si="2"/>
        <v>1028325.6799999999</v>
      </c>
      <c r="E17" s="38">
        <f t="shared" si="2"/>
        <v>1015114.4800000001</v>
      </c>
      <c r="F17" s="38">
        <f t="shared" si="2"/>
        <v>1017033.33</v>
      </c>
      <c r="G17" s="38">
        <f t="shared" si="2"/>
        <v>1042410.72</v>
      </c>
      <c r="H17" s="38">
        <f t="shared" ref="H17:I17" si="3">SUM(H12:H16)</f>
        <v>1006600</v>
      </c>
      <c r="I17" s="38">
        <f t="shared" si="3"/>
        <v>1009600</v>
      </c>
    </row>
    <row r="18" spans="1:9" x14ac:dyDescent="0.2">
      <c r="C18" s="10"/>
      <c r="D18" s="159"/>
      <c r="E18" s="10"/>
      <c r="F18" s="10"/>
      <c r="G18" s="10"/>
      <c r="H18" s="10"/>
      <c r="I18" s="10"/>
    </row>
    <row r="19" spans="1:9" x14ac:dyDescent="0.2">
      <c r="A19" s="198" t="s">
        <v>987</v>
      </c>
      <c r="B19" s="4" t="s">
        <v>369</v>
      </c>
      <c r="C19" s="10"/>
      <c r="D19" s="159"/>
      <c r="E19" s="10"/>
      <c r="F19" s="10"/>
      <c r="G19" s="10"/>
      <c r="H19" s="10"/>
      <c r="I19" s="10"/>
    </row>
    <row r="20" spans="1:9" x14ac:dyDescent="0.2">
      <c r="A20" s="16" t="s">
        <v>1462</v>
      </c>
      <c r="B20" s="126" t="s">
        <v>2064</v>
      </c>
      <c r="C20" s="10">
        <v>33949.49</v>
      </c>
      <c r="D20" s="159">
        <v>105926.94</v>
      </c>
      <c r="E20" s="10">
        <v>65698.399999999994</v>
      </c>
      <c r="F20" s="10">
        <v>29645.79</v>
      </c>
      <c r="G20" s="10">
        <v>61762.55</v>
      </c>
      <c r="H20" s="10">
        <v>45000</v>
      </c>
      <c r="I20" s="10">
        <v>65000</v>
      </c>
    </row>
    <row r="21" spans="1:9" x14ac:dyDescent="0.2">
      <c r="A21" s="16" t="s">
        <v>1464</v>
      </c>
      <c r="B21" s="126" t="s">
        <v>2065</v>
      </c>
      <c r="C21" s="10">
        <v>75758.41</v>
      </c>
      <c r="D21" s="159">
        <v>47263.53</v>
      </c>
      <c r="E21" s="10">
        <v>47236.6</v>
      </c>
      <c r="F21" s="10">
        <v>47167.22</v>
      </c>
      <c r="G21" s="10">
        <v>47129.55</v>
      </c>
      <c r="H21" s="10">
        <v>49000</v>
      </c>
      <c r="I21" s="10">
        <f t="shared" ref="H21:I23" si="4">+H21</f>
        <v>49000</v>
      </c>
    </row>
    <row r="22" spans="1:9" x14ac:dyDescent="0.2">
      <c r="A22" s="16" t="s">
        <v>1738</v>
      </c>
      <c r="B22" s="126" t="s">
        <v>2066</v>
      </c>
      <c r="C22" s="10">
        <v>0</v>
      </c>
      <c r="D22" s="159">
        <v>0</v>
      </c>
      <c r="E22" s="10">
        <v>0</v>
      </c>
      <c r="F22" s="10">
        <v>0</v>
      </c>
      <c r="G22" s="10">
        <v>0</v>
      </c>
      <c r="H22" s="10">
        <v>500</v>
      </c>
      <c r="I22" s="10">
        <f t="shared" si="4"/>
        <v>500</v>
      </c>
    </row>
    <row r="23" spans="1:9" x14ac:dyDescent="0.2">
      <c r="A23" s="16" t="s">
        <v>1463</v>
      </c>
      <c r="B23" s="126" t="s">
        <v>1838</v>
      </c>
      <c r="C23" s="12">
        <v>247661.99</v>
      </c>
      <c r="D23" s="169">
        <v>0.5</v>
      </c>
      <c r="E23" s="12">
        <v>0</v>
      </c>
      <c r="F23" s="12">
        <v>0</v>
      </c>
      <c r="G23" s="12">
        <v>0</v>
      </c>
      <c r="H23" s="10">
        <f t="shared" si="4"/>
        <v>0</v>
      </c>
      <c r="I23" s="10">
        <f t="shared" si="4"/>
        <v>0</v>
      </c>
    </row>
    <row r="24" spans="1:9" x14ac:dyDescent="0.2">
      <c r="A24" s="16"/>
      <c r="B24" s="6" t="s">
        <v>1118</v>
      </c>
      <c r="C24" s="38">
        <f t="shared" ref="C24:G24" si="5">SUM(C20:C23)</f>
        <v>357369.89</v>
      </c>
      <c r="D24" s="167">
        <f t="shared" si="5"/>
        <v>153190.97</v>
      </c>
      <c r="E24" s="38">
        <f t="shared" si="5"/>
        <v>112935</v>
      </c>
      <c r="F24" s="38">
        <f t="shared" si="5"/>
        <v>76813.010000000009</v>
      </c>
      <c r="G24" s="38">
        <f t="shared" si="5"/>
        <v>108892.1</v>
      </c>
      <c r="H24" s="38">
        <f t="shared" ref="H24:I24" si="6">SUM(H20:H23)</f>
        <v>94500</v>
      </c>
      <c r="I24" s="38">
        <f t="shared" si="6"/>
        <v>114500</v>
      </c>
    </row>
    <row r="25" spans="1:9" x14ac:dyDescent="0.2">
      <c r="C25" s="10"/>
      <c r="D25" s="159"/>
      <c r="E25" s="10"/>
      <c r="F25" s="10"/>
      <c r="G25" s="10"/>
      <c r="H25" s="10"/>
      <c r="I25" s="10"/>
    </row>
    <row r="26" spans="1:9" x14ac:dyDescent="0.2">
      <c r="A26" s="201" t="s">
        <v>56</v>
      </c>
      <c r="B26" s="4" t="s">
        <v>315</v>
      </c>
      <c r="C26" s="10"/>
      <c r="D26" s="159"/>
      <c r="E26" s="10"/>
      <c r="F26" s="10"/>
      <c r="G26" s="10"/>
      <c r="H26" s="10"/>
      <c r="I26" s="10"/>
    </row>
    <row r="27" spans="1:9" x14ac:dyDescent="0.2">
      <c r="A27" s="16" t="s">
        <v>2428</v>
      </c>
      <c r="B27" s="126" t="s">
        <v>2067</v>
      </c>
      <c r="C27" s="12">
        <v>0</v>
      </c>
      <c r="D27" s="169">
        <v>129296.05</v>
      </c>
      <c r="E27" s="12">
        <v>0</v>
      </c>
      <c r="F27" s="12">
        <v>0</v>
      </c>
      <c r="G27" s="12">
        <v>0</v>
      </c>
      <c r="H27" s="10">
        <v>20000</v>
      </c>
      <c r="I27" s="10">
        <v>0</v>
      </c>
    </row>
    <row r="28" spans="1:9" x14ac:dyDescent="0.2">
      <c r="B28" s="6" t="s">
        <v>1118</v>
      </c>
      <c r="C28" s="38">
        <f t="shared" ref="C28:G28" si="7">SUM(C27)</f>
        <v>0</v>
      </c>
      <c r="D28" s="167">
        <f t="shared" si="7"/>
        <v>129296.05</v>
      </c>
      <c r="E28" s="38">
        <f t="shared" si="7"/>
        <v>0</v>
      </c>
      <c r="F28" s="38">
        <f t="shared" si="7"/>
        <v>0</v>
      </c>
      <c r="G28" s="38">
        <f t="shared" si="7"/>
        <v>0</v>
      </c>
      <c r="H28" s="38">
        <f t="shared" ref="H28:I28" si="8">SUM(H27)</f>
        <v>20000</v>
      </c>
      <c r="I28" s="38">
        <f t="shared" si="8"/>
        <v>0</v>
      </c>
    </row>
    <row r="29" spans="1:9" x14ac:dyDescent="0.2">
      <c r="C29" s="10"/>
      <c r="D29" s="159"/>
      <c r="E29" s="10"/>
      <c r="F29" s="10"/>
      <c r="G29" s="10"/>
      <c r="H29" s="10"/>
      <c r="I29" s="10"/>
    </row>
    <row r="30" spans="1:9" x14ac:dyDescent="0.2">
      <c r="A30" s="198" t="s">
        <v>988</v>
      </c>
      <c r="B30" s="4" t="s">
        <v>670</v>
      </c>
      <c r="C30" s="10"/>
      <c r="D30" s="159"/>
      <c r="E30" s="10"/>
      <c r="F30" s="10"/>
      <c r="G30" s="10"/>
      <c r="H30" s="10"/>
      <c r="I30" s="10"/>
    </row>
    <row r="31" spans="1:9" x14ac:dyDescent="0.2">
      <c r="A31" s="16" t="s">
        <v>1465</v>
      </c>
      <c r="B31" s="126" t="s">
        <v>1850</v>
      </c>
      <c r="C31" s="10">
        <v>109162.35</v>
      </c>
      <c r="D31" s="159">
        <v>91962.45</v>
      </c>
      <c r="E31" s="10">
        <v>86391.26</v>
      </c>
      <c r="F31" s="10">
        <v>121737.82</v>
      </c>
      <c r="G31" s="10">
        <v>129165.38</v>
      </c>
      <c r="H31" s="10">
        <v>80000</v>
      </c>
      <c r="I31" s="10">
        <v>95000</v>
      </c>
    </row>
    <row r="32" spans="1:9" x14ac:dyDescent="0.2">
      <c r="A32" s="16" t="s">
        <v>1466</v>
      </c>
      <c r="B32" s="126" t="s">
        <v>1853</v>
      </c>
      <c r="C32" s="10">
        <v>89531.47</v>
      </c>
      <c r="D32" s="159">
        <v>84705</v>
      </c>
      <c r="E32" s="10">
        <v>42121.38</v>
      </c>
      <c r="F32" s="10">
        <v>39602.43</v>
      </c>
      <c r="G32" s="10">
        <v>39440.050000000003</v>
      </c>
      <c r="H32" s="10">
        <v>80000</v>
      </c>
      <c r="I32" s="10">
        <v>30000</v>
      </c>
    </row>
    <row r="33" spans="1:9" x14ac:dyDescent="0.2">
      <c r="A33" s="16" t="s">
        <v>1467</v>
      </c>
      <c r="B33" s="126" t="s">
        <v>1851</v>
      </c>
      <c r="C33" s="17">
        <v>302326.40999999997</v>
      </c>
      <c r="D33" s="170">
        <v>249487.62</v>
      </c>
      <c r="E33" s="17">
        <v>197706.96</v>
      </c>
      <c r="F33" s="17">
        <v>218483.85</v>
      </c>
      <c r="G33" s="17">
        <v>160632.79</v>
      </c>
      <c r="H33" s="10">
        <v>200000</v>
      </c>
      <c r="I33" s="10">
        <v>140000</v>
      </c>
    </row>
    <row r="34" spans="1:9" x14ac:dyDescent="0.2">
      <c r="A34" s="16" t="s">
        <v>1468</v>
      </c>
      <c r="B34" s="126" t="s">
        <v>1852</v>
      </c>
      <c r="C34" s="10">
        <v>225802.17</v>
      </c>
      <c r="D34" s="159">
        <v>277077.90000000002</v>
      </c>
      <c r="E34" s="10">
        <f>196478.44+351.9</f>
        <v>196830.34</v>
      </c>
      <c r="F34" s="10">
        <f>482+183967.13</f>
        <v>184449.13</v>
      </c>
      <c r="G34" s="10">
        <v>213744.09</v>
      </c>
      <c r="H34" s="10">
        <v>200000</v>
      </c>
      <c r="I34" s="10">
        <v>170000</v>
      </c>
    </row>
    <row r="35" spans="1:9" x14ac:dyDescent="0.2">
      <c r="A35" s="16" t="s">
        <v>1470</v>
      </c>
      <c r="B35" s="126" t="s">
        <v>2068</v>
      </c>
      <c r="C35" s="17">
        <v>58469.8</v>
      </c>
      <c r="D35" s="170">
        <v>74206.3</v>
      </c>
      <c r="E35" s="17">
        <v>84035.7</v>
      </c>
      <c r="F35" s="17">
        <v>89341.28</v>
      </c>
      <c r="G35" s="17">
        <v>93508.1</v>
      </c>
      <c r="H35" s="10">
        <v>65000</v>
      </c>
      <c r="I35" s="10">
        <v>55000</v>
      </c>
    </row>
    <row r="36" spans="1:9" x14ac:dyDescent="0.2">
      <c r="A36" s="16" t="s">
        <v>1469</v>
      </c>
      <c r="B36" s="126" t="s">
        <v>2069</v>
      </c>
      <c r="C36" s="10">
        <v>95678.25</v>
      </c>
      <c r="D36" s="159">
        <v>91561.7</v>
      </c>
      <c r="E36" s="10">
        <v>91805.56</v>
      </c>
      <c r="F36" s="10">
        <v>117046.61</v>
      </c>
      <c r="G36" s="10">
        <v>82368.08</v>
      </c>
      <c r="H36" s="10">
        <v>90000</v>
      </c>
      <c r="I36" s="10">
        <v>65000</v>
      </c>
    </row>
    <row r="37" spans="1:9" x14ac:dyDescent="0.2">
      <c r="A37" s="16" t="s">
        <v>1471</v>
      </c>
      <c r="B37" s="126" t="s">
        <v>2070</v>
      </c>
      <c r="C37" s="12">
        <v>8401</v>
      </c>
      <c r="D37" s="169">
        <v>8026</v>
      </c>
      <c r="E37" s="12">
        <v>11455</v>
      </c>
      <c r="F37" s="12">
        <v>2720</v>
      </c>
      <c r="G37" s="12">
        <v>16718</v>
      </c>
      <c r="H37" s="10">
        <v>8000</v>
      </c>
      <c r="I37" s="10">
        <f t="shared" ref="I37" si="9">+H37</f>
        <v>8000</v>
      </c>
    </row>
    <row r="38" spans="1:9" x14ac:dyDescent="0.2">
      <c r="A38" s="16"/>
      <c r="B38" s="6" t="s">
        <v>1118</v>
      </c>
      <c r="C38" s="38">
        <f t="shared" ref="C38:G38" si="10">SUM(C31:C37)</f>
        <v>889371.45000000007</v>
      </c>
      <c r="D38" s="167">
        <f t="shared" si="10"/>
        <v>877026.97</v>
      </c>
      <c r="E38" s="38">
        <f t="shared" si="10"/>
        <v>710346.2</v>
      </c>
      <c r="F38" s="38">
        <f t="shared" si="10"/>
        <v>773381.12</v>
      </c>
      <c r="G38" s="38">
        <f t="shared" si="10"/>
        <v>735576.48999999987</v>
      </c>
      <c r="H38" s="38">
        <f t="shared" ref="H38:I38" si="11">SUM(H31:H37)</f>
        <v>723000</v>
      </c>
      <c r="I38" s="38">
        <f t="shared" si="11"/>
        <v>563000</v>
      </c>
    </row>
    <row r="39" spans="1:9" x14ac:dyDescent="0.2">
      <c r="C39" s="10"/>
      <c r="D39" s="159"/>
      <c r="E39" s="10"/>
      <c r="F39" s="10"/>
      <c r="G39" s="10"/>
      <c r="H39" s="10"/>
      <c r="I39" s="10"/>
    </row>
    <row r="40" spans="1:9" x14ac:dyDescent="0.2">
      <c r="A40" s="198" t="s">
        <v>989</v>
      </c>
      <c r="B40" s="4" t="s">
        <v>1582</v>
      </c>
      <c r="C40" s="10"/>
      <c r="D40" s="159"/>
      <c r="E40" s="10"/>
      <c r="F40" s="10"/>
      <c r="G40" s="10"/>
      <c r="H40" s="10"/>
      <c r="I40" s="10"/>
    </row>
    <row r="41" spans="1:9" x14ac:dyDescent="0.2">
      <c r="A41" s="16" t="s">
        <v>1472</v>
      </c>
      <c r="B41" s="126" t="s">
        <v>1761</v>
      </c>
      <c r="C41" s="17">
        <v>15214.14</v>
      </c>
      <c r="D41" s="170">
        <v>27012.41</v>
      </c>
      <c r="E41" s="17">
        <v>30031.16</v>
      </c>
      <c r="F41" s="17">
        <v>28714.29</v>
      </c>
      <c r="G41" s="17">
        <v>45018.11</v>
      </c>
      <c r="H41" s="10">
        <v>5000</v>
      </c>
      <c r="I41" s="10">
        <v>115000</v>
      </c>
    </row>
    <row r="42" spans="1:9" x14ac:dyDescent="0.2">
      <c r="A42" s="16" t="s">
        <v>1475</v>
      </c>
      <c r="B42" s="126" t="s">
        <v>1868</v>
      </c>
      <c r="C42" s="10">
        <v>1446891.32</v>
      </c>
      <c r="D42" s="159">
        <v>121.6</v>
      </c>
      <c r="E42" s="10">
        <v>28668.05</v>
      </c>
      <c r="F42" s="10">
        <v>1112039.72</v>
      </c>
      <c r="G42" s="10">
        <v>60148</v>
      </c>
      <c r="H42" s="10">
        <v>10000</v>
      </c>
      <c r="I42" s="10">
        <f>+H42+960000</f>
        <v>970000</v>
      </c>
    </row>
    <row r="43" spans="1:9" x14ac:dyDescent="0.2">
      <c r="A43" s="16" t="s">
        <v>1473</v>
      </c>
      <c r="B43" s="126" t="s">
        <v>1875</v>
      </c>
      <c r="C43" s="10">
        <v>0</v>
      </c>
      <c r="D43" s="159">
        <v>0</v>
      </c>
      <c r="E43" s="10">
        <v>196272</v>
      </c>
      <c r="F43" s="10">
        <v>0</v>
      </c>
      <c r="G43" s="10">
        <v>3238.34</v>
      </c>
      <c r="H43" s="10">
        <v>2000</v>
      </c>
      <c r="I43" s="10">
        <v>0</v>
      </c>
    </row>
    <row r="44" spans="1:9" x14ac:dyDescent="0.2">
      <c r="A44" s="16" t="s">
        <v>1474</v>
      </c>
      <c r="B44" s="126" t="s">
        <v>1878</v>
      </c>
      <c r="C44" s="12">
        <v>1524.07</v>
      </c>
      <c r="D44" s="169">
        <v>739.68</v>
      </c>
      <c r="E44" s="12">
        <v>1125.6300000000001</v>
      </c>
      <c r="F44" s="12">
        <v>22.06</v>
      </c>
      <c r="G44" s="12">
        <v>0</v>
      </c>
      <c r="H44" s="10">
        <f t="shared" ref="H44:I44" si="12">+G44</f>
        <v>0</v>
      </c>
      <c r="I44" s="10">
        <f t="shared" si="12"/>
        <v>0</v>
      </c>
    </row>
    <row r="45" spans="1:9" x14ac:dyDescent="0.2">
      <c r="A45" s="16"/>
      <c r="B45" s="6" t="s">
        <v>1118</v>
      </c>
      <c r="C45" s="38">
        <f t="shared" ref="C45:G45" si="13">SUM(C41:C44)</f>
        <v>1463629.53</v>
      </c>
      <c r="D45" s="167">
        <f t="shared" si="13"/>
        <v>27873.69</v>
      </c>
      <c r="E45" s="38">
        <f t="shared" si="13"/>
        <v>256096.84</v>
      </c>
      <c r="F45" s="38">
        <f t="shared" si="13"/>
        <v>1140776.07</v>
      </c>
      <c r="G45" s="38">
        <f t="shared" si="13"/>
        <v>108404.45</v>
      </c>
      <c r="H45" s="38">
        <f t="shared" ref="H45:I45" si="14">SUM(H41:H44)</f>
        <v>17000</v>
      </c>
      <c r="I45" s="38">
        <f t="shared" si="14"/>
        <v>1085000</v>
      </c>
    </row>
    <row r="46" spans="1:9" x14ac:dyDescent="0.2">
      <c r="C46" s="10"/>
      <c r="D46" s="159"/>
      <c r="E46" s="10"/>
      <c r="F46" s="10"/>
      <c r="G46" s="10"/>
      <c r="H46" s="10"/>
      <c r="I46" s="10"/>
    </row>
    <row r="47" spans="1:9" x14ac:dyDescent="0.2">
      <c r="A47" s="128">
        <v>140.4</v>
      </c>
      <c r="B47" s="4" t="s">
        <v>1825</v>
      </c>
      <c r="C47" s="10"/>
      <c r="D47" s="171"/>
      <c r="E47" s="10"/>
      <c r="F47" s="10"/>
      <c r="G47" s="10"/>
      <c r="H47" s="10"/>
      <c r="I47" s="10"/>
    </row>
    <row r="48" spans="1:9" x14ac:dyDescent="0.2">
      <c r="A48" s="22" t="s">
        <v>2091</v>
      </c>
      <c r="B48" s="125" t="s">
        <v>1882</v>
      </c>
      <c r="C48" s="17">
        <v>0</v>
      </c>
      <c r="D48" s="170">
        <v>147100</v>
      </c>
      <c r="E48" s="12">
        <v>0</v>
      </c>
      <c r="F48" s="17">
        <v>0</v>
      </c>
      <c r="G48" s="17">
        <v>0</v>
      </c>
      <c r="H48" s="17">
        <v>0</v>
      </c>
      <c r="I48" s="17">
        <v>0</v>
      </c>
    </row>
    <row r="49" spans="1:9" x14ac:dyDescent="0.2">
      <c r="A49" s="22"/>
      <c r="B49" s="6"/>
      <c r="C49" s="127">
        <f t="shared" ref="C49:F49" si="15">+C48</f>
        <v>0</v>
      </c>
      <c r="D49" s="172">
        <f t="shared" si="15"/>
        <v>147100</v>
      </c>
      <c r="E49" s="127">
        <f t="shared" si="15"/>
        <v>0</v>
      </c>
      <c r="F49" s="127">
        <f t="shared" si="15"/>
        <v>0</v>
      </c>
      <c r="G49" s="127">
        <f t="shared" ref="G49:H49" si="16">+G48</f>
        <v>0</v>
      </c>
      <c r="H49" s="127">
        <f t="shared" si="16"/>
        <v>0</v>
      </c>
      <c r="I49" s="127">
        <f t="shared" ref="I49" si="17">+I48</f>
        <v>0</v>
      </c>
    </row>
    <row r="50" spans="1:9" x14ac:dyDescent="0.2">
      <c r="C50" s="10"/>
      <c r="D50" s="159"/>
      <c r="E50" s="10"/>
      <c r="F50" s="10"/>
      <c r="G50" s="10"/>
      <c r="H50" s="10"/>
      <c r="I50" s="10"/>
    </row>
    <row r="51" spans="1:9" ht="13.5" thickBot="1" x14ac:dyDescent="0.25">
      <c r="A51" s="16"/>
      <c r="B51" s="6" t="s">
        <v>137</v>
      </c>
      <c r="C51" s="36">
        <f t="shared" ref="C51:G51" si="18">C9+C17+C24+C28+C38+C45+C49</f>
        <v>5399867.3500000006</v>
      </c>
      <c r="D51" s="173">
        <f t="shared" si="18"/>
        <v>5199714.5900000008</v>
      </c>
      <c r="E51" s="36">
        <f t="shared" si="18"/>
        <v>5173148.1800000006</v>
      </c>
      <c r="F51" s="36">
        <f t="shared" si="18"/>
        <v>6158578.9100000001</v>
      </c>
      <c r="G51" s="36">
        <f t="shared" si="18"/>
        <v>5898431.5800000001</v>
      </c>
      <c r="H51" s="36">
        <f t="shared" ref="H51:I51" si="19">H9+H17+H24+H28+H38+H45+H49</f>
        <v>5981205.7696550023</v>
      </c>
      <c r="I51" s="36">
        <f t="shared" si="19"/>
        <v>7504103.4232763778</v>
      </c>
    </row>
    <row r="52" spans="1:9" ht="13.5" thickTop="1" x14ac:dyDescent="0.2">
      <c r="A52" s="16"/>
      <c r="B52" s="6"/>
      <c r="C52" s="10"/>
      <c r="D52" s="171"/>
      <c r="E52" s="10"/>
      <c r="F52" s="10"/>
      <c r="G52" s="10"/>
      <c r="H52" s="10"/>
      <c r="I52" s="10"/>
    </row>
    <row r="53" spans="1:9" x14ac:dyDescent="0.2">
      <c r="A53" s="16"/>
      <c r="B53" s="6"/>
      <c r="C53" s="10"/>
      <c r="D53" s="171"/>
      <c r="E53" s="10"/>
      <c r="F53" s="10"/>
      <c r="G53" s="10"/>
      <c r="H53" s="10"/>
      <c r="I53" s="10"/>
    </row>
    <row r="54" spans="1:9" x14ac:dyDescent="0.2">
      <c r="A54" s="16"/>
      <c r="B54" s="6"/>
      <c r="C54" s="10"/>
      <c r="D54" s="171"/>
      <c r="E54" s="10"/>
      <c r="F54" s="10"/>
      <c r="G54" s="10"/>
      <c r="H54" s="10"/>
      <c r="I54" s="10"/>
    </row>
    <row r="55" spans="1:9" hidden="1" x14ac:dyDescent="0.2">
      <c r="A55" s="16"/>
      <c r="B55" s="6"/>
      <c r="C55" s="10"/>
      <c r="D55" s="171"/>
      <c r="E55" s="10"/>
      <c r="F55" s="10"/>
      <c r="G55" s="10"/>
      <c r="H55" s="10"/>
      <c r="I55" s="10"/>
    </row>
    <row r="56" spans="1:9" hidden="1" x14ac:dyDescent="0.2">
      <c r="A56" s="16"/>
      <c r="B56" s="6"/>
      <c r="C56" s="10"/>
      <c r="D56" s="171"/>
      <c r="E56" s="10"/>
      <c r="F56" s="10"/>
      <c r="G56" s="10"/>
      <c r="H56" s="10"/>
      <c r="I56" s="10"/>
    </row>
    <row r="57" spans="1:9" hidden="1" x14ac:dyDescent="0.2">
      <c r="A57" s="16"/>
      <c r="B57" s="6"/>
      <c r="C57" s="10"/>
      <c r="D57" s="171"/>
      <c r="E57" s="10"/>
      <c r="F57" s="10"/>
      <c r="G57" s="10"/>
      <c r="H57" s="10"/>
      <c r="I57" s="10"/>
    </row>
    <row r="58" spans="1:9" hidden="1" x14ac:dyDescent="0.2">
      <c r="A58" s="16"/>
      <c r="B58" s="6"/>
      <c r="C58" s="10"/>
      <c r="D58" s="171"/>
      <c r="E58" s="10"/>
      <c r="F58" s="10"/>
      <c r="G58" s="10"/>
      <c r="H58" s="10"/>
      <c r="I58" s="10"/>
    </row>
    <row r="59" spans="1:9" hidden="1" x14ac:dyDescent="0.2">
      <c r="A59" s="16"/>
      <c r="B59" s="6"/>
      <c r="C59" s="10"/>
      <c r="D59" s="171"/>
      <c r="E59" s="10"/>
      <c r="F59" s="10"/>
      <c r="G59" s="10"/>
      <c r="H59" s="10"/>
      <c r="I59" s="10"/>
    </row>
    <row r="60" spans="1:9" x14ac:dyDescent="0.2">
      <c r="A60" s="16"/>
      <c r="B60" s="4" t="s">
        <v>1342</v>
      </c>
      <c r="C60" s="112" t="s">
        <v>1433</v>
      </c>
      <c r="D60" s="174" t="s">
        <v>1433</v>
      </c>
      <c r="E60" s="112" t="s">
        <v>1433</v>
      </c>
      <c r="F60" s="112" t="s">
        <v>1433</v>
      </c>
      <c r="G60" s="112" t="s">
        <v>1433</v>
      </c>
      <c r="H60" s="112" t="s">
        <v>1433</v>
      </c>
      <c r="I60" s="112" t="s">
        <v>1433</v>
      </c>
    </row>
    <row r="61" spans="1:9" x14ac:dyDescent="0.2">
      <c r="A61" s="16"/>
      <c r="B61" s="4" t="s">
        <v>983</v>
      </c>
      <c r="C61" s="112" t="s">
        <v>1433</v>
      </c>
      <c r="D61" s="174" t="s">
        <v>1433</v>
      </c>
      <c r="E61" s="112" t="s">
        <v>1433</v>
      </c>
      <c r="F61" s="112" t="s">
        <v>1433</v>
      </c>
      <c r="G61" s="112" t="s">
        <v>1433</v>
      </c>
      <c r="H61" s="112" t="s">
        <v>1433</v>
      </c>
      <c r="I61" s="112" t="s">
        <v>1433</v>
      </c>
    </row>
    <row r="62" spans="1:9" x14ac:dyDescent="0.2">
      <c r="A62" s="16"/>
      <c r="B62" s="4" t="s">
        <v>861</v>
      </c>
      <c r="C62" s="112" t="s">
        <v>1433</v>
      </c>
      <c r="D62" s="174" t="s">
        <v>1433</v>
      </c>
      <c r="E62" s="112" t="s">
        <v>1433</v>
      </c>
      <c r="F62" s="112" t="s">
        <v>1433</v>
      </c>
      <c r="G62" s="112" t="s">
        <v>1433</v>
      </c>
      <c r="H62" s="112" t="s">
        <v>1433</v>
      </c>
      <c r="I62" s="112" t="s">
        <v>1433</v>
      </c>
    </row>
    <row r="63" spans="1:9" x14ac:dyDescent="0.2">
      <c r="A63" s="16"/>
      <c r="B63" s="4"/>
      <c r="C63" s="112"/>
      <c r="D63" s="174"/>
      <c r="E63" s="112"/>
      <c r="F63" s="112"/>
      <c r="G63" s="112"/>
      <c r="H63" s="112"/>
      <c r="I63" s="112"/>
    </row>
    <row r="64" spans="1:9" x14ac:dyDescent="0.2">
      <c r="A64" s="16"/>
      <c r="C64" s="129" t="str">
        <f t="shared" ref="C64:G64" si="20">+C5</f>
        <v>2018 ACTUAL</v>
      </c>
      <c r="D64" s="175" t="str">
        <f t="shared" si="20"/>
        <v>2019 ACTUAL</v>
      </c>
      <c r="E64" s="129" t="str">
        <f t="shared" si="20"/>
        <v>2020 ACTUAL</v>
      </c>
      <c r="F64" s="129" t="str">
        <f t="shared" si="20"/>
        <v>2021 ACTUAL</v>
      </c>
      <c r="G64" s="129" t="str">
        <f t="shared" si="20"/>
        <v>2022 ACTUAL</v>
      </c>
      <c r="H64" s="129" t="str">
        <f t="shared" ref="H64:I64" si="21">+H5</f>
        <v xml:space="preserve">2023 BUDGET </v>
      </c>
      <c r="I64" s="129" t="str">
        <f t="shared" si="21"/>
        <v xml:space="preserve">2024 BUDGET </v>
      </c>
    </row>
    <row r="65" spans="1:9" x14ac:dyDescent="0.2">
      <c r="A65" s="128">
        <v>140.4</v>
      </c>
      <c r="B65" s="4" t="s">
        <v>1825</v>
      </c>
      <c r="C65" s="10"/>
      <c r="D65" s="171"/>
      <c r="E65" s="10"/>
      <c r="F65" s="10"/>
      <c r="G65" s="10"/>
      <c r="H65" s="10"/>
      <c r="I65" s="10"/>
    </row>
    <row r="66" spans="1:9" x14ac:dyDescent="0.2">
      <c r="A66" s="22" t="s">
        <v>2091</v>
      </c>
      <c r="B66" s="126" t="s">
        <v>1883</v>
      </c>
      <c r="C66" s="17">
        <v>0</v>
      </c>
      <c r="D66" s="170">
        <v>0</v>
      </c>
      <c r="E66" s="12">
        <v>0</v>
      </c>
      <c r="F66" s="17">
        <v>0</v>
      </c>
      <c r="G66" s="17">
        <v>0</v>
      </c>
      <c r="H66" s="17">
        <v>0</v>
      </c>
      <c r="I66" s="17">
        <v>0</v>
      </c>
    </row>
    <row r="67" spans="1:9" ht="7.5" customHeight="1" x14ac:dyDescent="0.2">
      <c r="A67" s="22"/>
      <c r="B67" s="6"/>
      <c r="C67" s="127">
        <f t="shared" ref="C67:F67" si="22">+C66</f>
        <v>0</v>
      </c>
      <c r="D67" s="172">
        <f t="shared" si="22"/>
        <v>0</v>
      </c>
      <c r="E67" s="127">
        <f t="shared" si="22"/>
        <v>0</v>
      </c>
      <c r="F67" s="127">
        <f t="shared" si="22"/>
        <v>0</v>
      </c>
      <c r="G67" s="127">
        <f t="shared" ref="G67:H67" si="23">+G66</f>
        <v>0</v>
      </c>
      <c r="H67" s="127">
        <f t="shared" si="23"/>
        <v>0</v>
      </c>
      <c r="I67" s="127">
        <f t="shared" ref="I67" si="24">+I66</f>
        <v>0</v>
      </c>
    </row>
    <row r="68" spans="1:9" x14ac:dyDescent="0.2">
      <c r="A68" s="198" t="s">
        <v>540</v>
      </c>
      <c r="B68" s="4" t="s">
        <v>1431</v>
      </c>
      <c r="C68" s="10"/>
      <c r="D68" s="159"/>
      <c r="E68" s="10"/>
      <c r="F68" s="10"/>
      <c r="G68" s="10"/>
      <c r="H68" s="10"/>
      <c r="I68" s="10"/>
    </row>
    <row r="69" spans="1:9" x14ac:dyDescent="0.2">
      <c r="A69" s="16" t="s">
        <v>541</v>
      </c>
      <c r="B69" s="126" t="s">
        <v>1905</v>
      </c>
      <c r="C69" s="10">
        <v>94201.12</v>
      </c>
      <c r="D69" s="159">
        <v>100847.15</v>
      </c>
      <c r="E69" s="10">
        <v>47870.8</v>
      </c>
      <c r="F69" s="10">
        <v>63432.2</v>
      </c>
      <c r="G69" s="10">
        <v>65907.240000000005</v>
      </c>
      <c r="H69" s="10">
        <v>67267</v>
      </c>
      <c r="I69" s="10">
        <v>70630</v>
      </c>
    </row>
    <row r="70" spans="1:9" x14ac:dyDescent="0.2">
      <c r="A70" s="16" t="s">
        <v>542</v>
      </c>
      <c r="B70" s="125" t="s">
        <v>1904</v>
      </c>
      <c r="C70" s="10">
        <v>65958.19</v>
      </c>
      <c r="D70" s="159">
        <v>61774.73</v>
      </c>
      <c r="E70" s="10">
        <v>64798.67</v>
      </c>
      <c r="F70" s="10">
        <v>67507.33</v>
      </c>
      <c r="G70" s="10">
        <v>65574.350000000006</v>
      </c>
      <c r="H70" s="10">
        <f>32612+39387</f>
        <v>71999</v>
      </c>
      <c r="I70" s="10">
        <f>34877+41356</f>
        <v>76233</v>
      </c>
    </row>
    <row r="71" spans="1:9" x14ac:dyDescent="0.2">
      <c r="A71" s="16" t="s">
        <v>1272</v>
      </c>
      <c r="B71" s="126" t="s">
        <v>1984</v>
      </c>
      <c r="C71" s="18">
        <v>52505.84</v>
      </c>
      <c r="D71" s="168">
        <v>57158.67</v>
      </c>
      <c r="E71" s="18">
        <v>69713.279999999999</v>
      </c>
      <c r="F71" s="18">
        <v>71292.92</v>
      </c>
      <c r="G71" s="18">
        <v>44254.03</v>
      </c>
      <c r="H71" s="10">
        <f>17586*3+7450*6</f>
        <v>97458</v>
      </c>
      <c r="I71" s="10">
        <f>18465*4+7450*6</f>
        <v>118560</v>
      </c>
    </row>
    <row r="72" spans="1:9" x14ac:dyDescent="0.2">
      <c r="A72" s="16" t="s">
        <v>1616</v>
      </c>
      <c r="B72" s="125" t="s">
        <v>2072</v>
      </c>
      <c r="C72" s="18">
        <v>2731.61</v>
      </c>
      <c r="D72" s="168">
        <v>3199.82</v>
      </c>
      <c r="E72" s="18">
        <v>6399.64</v>
      </c>
      <c r="F72" s="18">
        <v>6399.64</v>
      </c>
      <c r="G72" s="18">
        <v>6522.71</v>
      </c>
      <c r="H72" s="10">
        <v>6400</v>
      </c>
      <c r="I72" s="10">
        <v>6400</v>
      </c>
    </row>
    <row r="73" spans="1:9" x14ac:dyDescent="0.2">
      <c r="A73" s="16" t="s">
        <v>543</v>
      </c>
      <c r="B73" s="125" t="s">
        <v>2071</v>
      </c>
      <c r="C73" s="18">
        <v>1522428.36</v>
      </c>
      <c r="D73" s="168">
        <v>1666213.36</v>
      </c>
      <c r="E73" s="18">
        <v>1602237.57</v>
      </c>
      <c r="F73" s="18">
        <v>1543491.97</v>
      </c>
      <c r="G73" s="18">
        <v>1676366.18</v>
      </c>
      <c r="H73" s="10">
        <f>2027858-H69-H70-H71</f>
        <v>1791134</v>
      </c>
      <c r="I73" s="10">
        <f>2141740-I69-I70-I71</f>
        <v>1876317</v>
      </c>
    </row>
    <row r="74" spans="1:9" x14ac:dyDescent="0.2">
      <c r="A74" s="16" t="s">
        <v>544</v>
      </c>
      <c r="B74" s="125" t="s">
        <v>1889</v>
      </c>
      <c r="C74" s="10">
        <v>11178.95</v>
      </c>
      <c r="D74" s="159">
        <v>19130.599999999999</v>
      </c>
      <c r="E74" s="10">
        <v>15968.97</v>
      </c>
      <c r="F74" s="10">
        <v>15868.88</v>
      </c>
      <c r="G74" s="10">
        <v>17251.759999999998</v>
      </c>
      <c r="H74" s="10">
        <v>18720</v>
      </c>
      <c r="I74" s="10">
        <v>17700</v>
      </c>
    </row>
    <row r="75" spans="1:9" x14ac:dyDescent="0.2">
      <c r="A75" s="16" t="s">
        <v>545</v>
      </c>
      <c r="B75" s="125" t="s">
        <v>1891</v>
      </c>
      <c r="C75" s="18">
        <v>124212.74</v>
      </c>
      <c r="D75" s="168">
        <v>135321.54</v>
      </c>
      <c r="E75" s="18">
        <v>128188.46</v>
      </c>
      <c r="F75" s="18">
        <v>123393.97</v>
      </c>
      <c r="G75" s="18">
        <v>131572.95000000001</v>
      </c>
      <c r="H75" s="10">
        <v>157291</v>
      </c>
      <c r="I75" s="10">
        <v>165925</v>
      </c>
    </row>
    <row r="76" spans="1:9" x14ac:dyDescent="0.2">
      <c r="A76" s="16" t="s">
        <v>546</v>
      </c>
      <c r="B76" s="125" t="s">
        <v>1892</v>
      </c>
      <c r="C76" s="18">
        <v>200678.62</v>
      </c>
      <c r="D76" s="168">
        <v>213555.36</v>
      </c>
      <c r="E76" s="18">
        <v>215355.82</v>
      </c>
      <c r="F76" s="18">
        <v>212168.97</v>
      </c>
      <c r="G76" s="18">
        <v>229069.48</v>
      </c>
      <c r="H76" s="10">
        <v>249033</v>
      </c>
      <c r="I76" s="10">
        <v>264470</v>
      </c>
    </row>
    <row r="77" spans="1:9" x14ac:dyDescent="0.2">
      <c r="A77" s="16" t="s">
        <v>547</v>
      </c>
      <c r="B77" s="125" t="s">
        <v>1893</v>
      </c>
      <c r="C77" s="18">
        <v>276950</v>
      </c>
      <c r="D77" s="168">
        <v>334255</v>
      </c>
      <c r="E77" s="18">
        <v>319800</v>
      </c>
      <c r="F77" s="18">
        <v>334750</v>
      </c>
      <c r="G77" s="18">
        <v>336375</v>
      </c>
      <c r="H77" s="10">
        <f>397800+4147</f>
        <v>401947</v>
      </c>
      <c r="I77" s="10">
        <v>366600</v>
      </c>
    </row>
    <row r="78" spans="1:9" x14ac:dyDescent="0.2">
      <c r="A78" s="16" t="s">
        <v>548</v>
      </c>
      <c r="B78" s="125" t="s">
        <v>1894</v>
      </c>
      <c r="C78" s="10">
        <v>0</v>
      </c>
      <c r="D78" s="159">
        <v>0</v>
      </c>
      <c r="E78" s="10">
        <v>0</v>
      </c>
      <c r="F78" s="10">
        <v>0</v>
      </c>
      <c r="G78" s="10">
        <v>0</v>
      </c>
      <c r="H78" s="10">
        <f t="shared" ref="H78:I87" si="25">+G78</f>
        <v>0</v>
      </c>
      <c r="I78" s="10">
        <f t="shared" si="25"/>
        <v>0</v>
      </c>
    </row>
    <row r="79" spans="1:9" x14ac:dyDescent="0.2">
      <c r="A79" s="16" t="s">
        <v>549</v>
      </c>
      <c r="B79" s="125" t="s">
        <v>1906</v>
      </c>
      <c r="C79" s="10">
        <v>53.99</v>
      </c>
      <c r="D79" s="159">
        <v>506.4</v>
      </c>
      <c r="E79" s="10">
        <v>980.29</v>
      </c>
      <c r="F79" s="10">
        <v>1248.1099999999999</v>
      </c>
      <c r="G79" s="10">
        <v>1008.8</v>
      </c>
      <c r="H79" s="10">
        <v>1500</v>
      </c>
      <c r="I79" s="10">
        <v>1250</v>
      </c>
    </row>
    <row r="80" spans="1:9" x14ac:dyDescent="0.2">
      <c r="A80" s="16" t="s">
        <v>550</v>
      </c>
      <c r="B80" s="125" t="s">
        <v>1895</v>
      </c>
      <c r="C80" s="10">
        <v>3038.85</v>
      </c>
      <c r="D80" s="159">
        <v>5112.3900000000003</v>
      </c>
      <c r="E80" s="10">
        <v>4900.1899999999996</v>
      </c>
      <c r="F80" s="10">
        <v>3939.08</v>
      </c>
      <c r="G80" s="10">
        <v>6650.19</v>
      </c>
      <c r="H80" s="10">
        <v>15000</v>
      </c>
      <c r="I80" s="10">
        <v>5000</v>
      </c>
    </row>
    <row r="81" spans="1:9" x14ac:dyDescent="0.2">
      <c r="A81" s="16" t="s">
        <v>1739</v>
      </c>
      <c r="B81" s="125" t="s">
        <v>1986</v>
      </c>
      <c r="C81" s="10">
        <v>2790.52</v>
      </c>
      <c r="D81" s="159">
        <v>3615.66</v>
      </c>
      <c r="E81" s="10">
        <v>1886.78</v>
      </c>
      <c r="F81" s="10">
        <v>1122.71</v>
      </c>
      <c r="G81" s="10">
        <v>2518.7199999999998</v>
      </c>
      <c r="H81" s="10">
        <v>2000</v>
      </c>
      <c r="I81" s="10">
        <f t="shared" si="25"/>
        <v>2000</v>
      </c>
    </row>
    <row r="82" spans="1:9" x14ac:dyDescent="0.2">
      <c r="A82" s="16" t="s">
        <v>551</v>
      </c>
      <c r="B82" s="125" t="s">
        <v>1896</v>
      </c>
      <c r="C82" s="10">
        <v>223.41</v>
      </c>
      <c r="D82" s="159">
        <v>458.32</v>
      </c>
      <c r="E82" s="10">
        <v>359.42</v>
      </c>
      <c r="F82" s="10">
        <v>182.44</v>
      </c>
      <c r="G82" s="10">
        <v>167.42</v>
      </c>
      <c r="H82" s="10">
        <v>500</v>
      </c>
      <c r="I82" s="10">
        <f t="shared" si="25"/>
        <v>500</v>
      </c>
    </row>
    <row r="83" spans="1:9" x14ac:dyDescent="0.2">
      <c r="A83" s="16" t="s">
        <v>552</v>
      </c>
      <c r="B83" s="125" t="s">
        <v>1897</v>
      </c>
      <c r="C83" s="10">
        <v>3100</v>
      </c>
      <c r="D83" s="159">
        <v>3020</v>
      </c>
      <c r="E83" s="10">
        <v>2910</v>
      </c>
      <c r="F83" s="10">
        <v>3120</v>
      </c>
      <c r="G83" s="10">
        <v>3060</v>
      </c>
      <c r="H83" s="10">
        <v>3120</v>
      </c>
      <c r="I83" s="10">
        <v>3120</v>
      </c>
    </row>
    <row r="84" spans="1:9" x14ac:dyDescent="0.2">
      <c r="A84" s="16" t="s">
        <v>553</v>
      </c>
      <c r="B84" s="125" t="s">
        <v>1898</v>
      </c>
      <c r="C84" s="10">
        <v>1753.09</v>
      </c>
      <c r="D84" s="159">
        <v>1061.6500000000001</v>
      </c>
      <c r="E84" s="10">
        <v>783.33</v>
      </c>
      <c r="F84" s="10">
        <v>250</v>
      </c>
      <c r="G84" s="10">
        <v>286.16000000000003</v>
      </c>
      <c r="H84" s="10">
        <v>3350</v>
      </c>
      <c r="I84" s="10">
        <v>3500</v>
      </c>
    </row>
    <row r="85" spans="1:9" x14ac:dyDescent="0.2">
      <c r="A85" s="16" t="s">
        <v>1088</v>
      </c>
      <c r="B85" s="125" t="s">
        <v>2073</v>
      </c>
      <c r="C85" s="10">
        <v>1400</v>
      </c>
      <c r="D85" s="159">
        <v>2730</v>
      </c>
      <c r="E85" s="10">
        <v>1400</v>
      </c>
      <c r="F85" s="10">
        <v>1680</v>
      </c>
      <c r="G85" s="10">
        <v>0</v>
      </c>
      <c r="H85" s="10">
        <v>2500</v>
      </c>
      <c r="I85" s="10">
        <f t="shared" si="25"/>
        <v>2500</v>
      </c>
    </row>
    <row r="86" spans="1:9" x14ac:dyDescent="0.2">
      <c r="A86" s="16" t="s">
        <v>554</v>
      </c>
      <c r="B86" s="125" t="s">
        <v>1899</v>
      </c>
      <c r="C86" s="10">
        <v>50</v>
      </c>
      <c r="D86" s="159">
        <v>50</v>
      </c>
      <c r="E86" s="10">
        <v>0</v>
      </c>
      <c r="F86" s="10">
        <v>359</v>
      </c>
      <c r="G86" s="10">
        <v>0</v>
      </c>
      <c r="H86" s="10">
        <v>50</v>
      </c>
      <c r="I86" s="10">
        <v>400</v>
      </c>
    </row>
    <row r="87" spans="1:9" x14ac:dyDescent="0.2">
      <c r="A87" s="16" t="s">
        <v>555</v>
      </c>
      <c r="B87" s="125" t="s">
        <v>1878</v>
      </c>
      <c r="C87" s="12">
        <v>1674.09</v>
      </c>
      <c r="D87" s="169">
        <v>2739.01</v>
      </c>
      <c r="E87" s="12">
        <v>2411.21</v>
      </c>
      <c r="F87" s="12">
        <v>1388.71</v>
      </c>
      <c r="G87" s="12">
        <v>1185.18</v>
      </c>
      <c r="H87" s="10">
        <v>3500</v>
      </c>
      <c r="I87" s="10">
        <f t="shared" si="25"/>
        <v>3500</v>
      </c>
    </row>
    <row r="88" spans="1:9" x14ac:dyDescent="0.2">
      <c r="A88" s="16"/>
      <c r="B88" s="6" t="s">
        <v>821</v>
      </c>
      <c r="C88" s="38">
        <f t="shared" ref="C88:G88" si="26">SUM(C69:C87)</f>
        <v>2364929.3800000004</v>
      </c>
      <c r="D88" s="167">
        <f t="shared" si="26"/>
        <v>2610749.6599999997</v>
      </c>
      <c r="E88" s="38">
        <f t="shared" si="26"/>
        <v>2485964.4299999997</v>
      </c>
      <c r="F88" s="38">
        <f t="shared" si="26"/>
        <v>2451595.9299999997</v>
      </c>
      <c r="G88" s="38">
        <f t="shared" si="26"/>
        <v>2587770.1700000004</v>
      </c>
      <c r="H88" s="38">
        <f t="shared" ref="H88:I88" si="27">SUM(H69:H87)</f>
        <v>2892769</v>
      </c>
      <c r="I88" s="38">
        <f t="shared" si="27"/>
        <v>2984605</v>
      </c>
    </row>
    <row r="89" spans="1:9" ht="7.5" customHeight="1" x14ac:dyDescent="0.2">
      <c r="C89" s="10"/>
      <c r="D89" s="159"/>
      <c r="E89" s="10"/>
      <c r="F89" s="10"/>
      <c r="G89" s="10"/>
      <c r="H89" s="10"/>
      <c r="I89" s="10"/>
    </row>
    <row r="90" spans="1:9" x14ac:dyDescent="0.2">
      <c r="A90" s="198" t="s">
        <v>556</v>
      </c>
      <c r="B90" s="4" t="s">
        <v>822</v>
      </c>
      <c r="C90" s="10"/>
      <c r="D90" s="159"/>
      <c r="E90" s="10"/>
      <c r="F90" s="10"/>
      <c r="G90" s="10"/>
      <c r="H90" s="10"/>
      <c r="I90" s="10"/>
    </row>
    <row r="91" spans="1:9" x14ac:dyDescent="0.2">
      <c r="A91" s="16" t="s">
        <v>557</v>
      </c>
      <c r="B91" s="125" t="s">
        <v>2074</v>
      </c>
      <c r="C91" s="10">
        <v>8981.2099999999991</v>
      </c>
      <c r="D91" s="159">
        <v>13776.78</v>
      </c>
      <c r="E91" s="10">
        <v>14112.61</v>
      </c>
      <c r="F91" s="10">
        <v>9080.02</v>
      </c>
      <c r="G91" s="10">
        <v>11622.69</v>
      </c>
      <c r="H91" s="10">
        <v>18000</v>
      </c>
      <c r="I91" s="10">
        <v>20000</v>
      </c>
    </row>
    <row r="92" spans="1:9" x14ac:dyDescent="0.2">
      <c r="A92" s="16" t="s">
        <v>558</v>
      </c>
      <c r="B92" s="125" t="s">
        <v>2075</v>
      </c>
      <c r="C92" s="17">
        <v>42198.7</v>
      </c>
      <c r="D92" s="170">
        <v>50739.85</v>
      </c>
      <c r="E92" s="17">
        <v>40506.14</v>
      </c>
      <c r="F92" s="17">
        <v>52893.57</v>
      </c>
      <c r="G92" s="17">
        <v>17596.84</v>
      </c>
      <c r="H92" s="10">
        <v>70000</v>
      </c>
      <c r="I92" s="10">
        <v>65000</v>
      </c>
    </row>
    <row r="93" spans="1:9" x14ac:dyDescent="0.2">
      <c r="A93" s="16" t="s">
        <v>559</v>
      </c>
      <c r="B93" s="125" t="s">
        <v>1968</v>
      </c>
      <c r="C93" s="17">
        <v>287176.65999999997</v>
      </c>
      <c r="D93" s="170">
        <v>270345.68</v>
      </c>
      <c r="E93" s="17">
        <v>205437.55</v>
      </c>
      <c r="F93" s="17">
        <v>-38572.53</v>
      </c>
      <c r="G93" s="17">
        <v>432868.18</v>
      </c>
      <c r="H93" s="10">
        <v>550000</v>
      </c>
      <c r="I93" s="10">
        <v>550000</v>
      </c>
    </row>
    <row r="94" spans="1:9" x14ac:dyDescent="0.2">
      <c r="A94" s="16" t="s">
        <v>560</v>
      </c>
      <c r="B94" s="125" t="s">
        <v>2076</v>
      </c>
      <c r="C94" s="17">
        <v>162835.14000000001</v>
      </c>
      <c r="D94" s="170">
        <v>215070.54</v>
      </c>
      <c r="E94" s="17">
        <v>254982.62</v>
      </c>
      <c r="F94" s="17">
        <v>115980.95</v>
      </c>
      <c r="G94" s="17">
        <v>326313.53000000003</v>
      </c>
      <c r="H94" s="10">
        <v>275000</v>
      </c>
      <c r="I94" s="10">
        <v>300000</v>
      </c>
    </row>
    <row r="95" spans="1:9" x14ac:dyDescent="0.2">
      <c r="A95" s="16" t="s">
        <v>561</v>
      </c>
      <c r="B95" s="125" t="s">
        <v>2077</v>
      </c>
      <c r="C95" s="17">
        <v>873099.19</v>
      </c>
      <c r="D95" s="170">
        <v>993697.56</v>
      </c>
      <c r="E95" s="17">
        <v>785252.66</v>
      </c>
      <c r="F95" s="17">
        <v>646639.82999999996</v>
      </c>
      <c r="G95" s="17">
        <v>929481.64</v>
      </c>
      <c r="H95" s="10">
        <v>900000</v>
      </c>
      <c r="I95" s="10">
        <v>900000</v>
      </c>
    </row>
    <row r="96" spans="1:9" x14ac:dyDescent="0.2">
      <c r="A96" s="16" t="s">
        <v>562</v>
      </c>
      <c r="B96" s="125" t="s">
        <v>2078</v>
      </c>
      <c r="C96" s="17">
        <v>51733.4</v>
      </c>
      <c r="D96" s="170">
        <v>55951.4</v>
      </c>
      <c r="E96" s="17">
        <v>78047.28</v>
      </c>
      <c r="F96" s="17">
        <v>53296.4</v>
      </c>
      <c r="G96" s="17">
        <v>97104.98</v>
      </c>
      <c r="H96" s="10">
        <v>70000</v>
      </c>
      <c r="I96" s="10">
        <f t="shared" ref="I96:I98" si="28">+H96</f>
        <v>70000</v>
      </c>
    </row>
    <row r="97" spans="1:16" x14ac:dyDescent="0.2">
      <c r="A97" s="16" t="s">
        <v>563</v>
      </c>
      <c r="B97" s="125" t="s">
        <v>2079</v>
      </c>
      <c r="C97" s="17">
        <v>-52.08</v>
      </c>
      <c r="D97" s="170">
        <v>0.33</v>
      </c>
      <c r="E97" s="17">
        <v>2</v>
      </c>
      <c r="F97" s="17">
        <v>0.05</v>
      </c>
      <c r="G97" s="17">
        <v>-2.83</v>
      </c>
      <c r="H97" s="10">
        <v>75</v>
      </c>
      <c r="I97" s="10">
        <v>75</v>
      </c>
    </row>
    <row r="98" spans="1:16" x14ac:dyDescent="0.2">
      <c r="A98" s="16" t="s">
        <v>564</v>
      </c>
      <c r="B98" s="125" t="s">
        <v>2080</v>
      </c>
      <c r="C98" s="17">
        <v>0</v>
      </c>
      <c r="D98" s="170">
        <v>0</v>
      </c>
      <c r="E98" s="17">
        <v>0</v>
      </c>
      <c r="F98" s="17">
        <v>0</v>
      </c>
      <c r="G98" s="17">
        <v>0</v>
      </c>
      <c r="H98" s="10">
        <v>49000</v>
      </c>
      <c r="I98" s="10">
        <f t="shared" si="28"/>
        <v>49000</v>
      </c>
    </row>
    <row r="99" spans="1:16" x14ac:dyDescent="0.2">
      <c r="A99" s="16" t="s">
        <v>566</v>
      </c>
      <c r="B99" s="125" t="s">
        <v>1993</v>
      </c>
      <c r="C99" s="17">
        <v>22728.87</v>
      </c>
      <c r="D99" s="170">
        <v>19598.72</v>
      </c>
      <c r="E99" s="17">
        <v>20636.2</v>
      </c>
      <c r="F99" s="17">
        <v>31694.67</v>
      </c>
      <c r="G99" s="17">
        <v>35408.58</v>
      </c>
      <c r="H99" s="10">
        <v>37000</v>
      </c>
      <c r="I99" s="10">
        <v>20000</v>
      </c>
    </row>
    <row r="100" spans="1:16" x14ac:dyDescent="0.2">
      <c r="A100" s="16" t="s">
        <v>565</v>
      </c>
      <c r="B100" s="125" t="s">
        <v>2081</v>
      </c>
      <c r="C100" s="17">
        <v>75879.789999999994</v>
      </c>
      <c r="D100" s="170">
        <v>95681.65</v>
      </c>
      <c r="E100" s="17">
        <v>78643.839999999997</v>
      </c>
      <c r="F100" s="17">
        <v>55068.12</v>
      </c>
      <c r="G100" s="17">
        <v>96270.84</v>
      </c>
      <c r="H100" s="10">
        <v>100000</v>
      </c>
      <c r="I100" s="10">
        <v>100000</v>
      </c>
    </row>
    <row r="101" spans="1:16" x14ac:dyDescent="0.2">
      <c r="A101" s="16" t="s">
        <v>567</v>
      </c>
      <c r="B101" s="125" t="s">
        <v>2082</v>
      </c>
      <c r="C101" s="17">
        <v>100626.46</v>
      </c>
      <c r="D101" s="170">
        <v>76922.62</v>
      </c>
      <c r="E101" s="17">
        <v>126591.19</v>
      </c>
      <c r="F101" s="17">
        <v>110718.06</v>
      </c>
      <c r="G101" s="17">
        <v>137180.24</v>
      </c>
      <c r="H101" s="10">
        <v>150000</v>
      </c>
      <c r="I101" s="10">
        <v>150000</v>
      </c>
    </row>
    <row r="102" spans="1:16" x14ac:dyDescent="0.2">
      <c r="A102" s="16" t="s">
        <v>416</v>
      </c>
      <c r="B102" s="125" t="s">
        <v>2015</v>
      </c>
      <c r="C102" s="17">
        <v>31173.82</v>
      </c>
      <c r="D102" s="170">
        <v>33185.72</v>
      </c>
      <c r="E102" s="17">
        <v>33229.54</v>
      </c>
      <c r="F102" s="17">
        <v>29967.65</v>
      </c>
      <c r="G102" s="17">
        <v>34900.550000000003</v>
      </c>
      <c r="H102" s="10">
        <v>40000</v>
      </c>
      <c r="I102" s="10">
        <v>45000</v>
      </c>
    </row>
    <row r="103" spans="1:16" x14ac:dyDescent="0.2">
      <c r="A103" s="16" t="s">
        <v>568</v>
      </c>
      <c r="B103" s="125" t="s">
        <v>2083</v>
      </c>
      <c r="C103" s="18">
        <v>9879.1</v>
      </c>
      <c r="D103" s="170">
        <v>8463.36</v>
      </c>
      <c r="E103" s="17">
        <v>10231.27</v>
      </c>
      <c r="F103" s="17">
        <v>11676.98</v>
      </c>
      <c r="G103" s="17">
        <v>6246.54</v>
      </c>
      <c r="H103" s="10">
        <v>12000</v>
      </c>
      <c r="I103" s="10">
        <v>15000</v>
      </c>
    </row>
    <row r="104" spans="1:16" x14ac:dyDescent="0.2">
      <c r="A104" s="16" t="s">
        <v>569</v>
      </c>
      <c r="B104" s="125" t="s">
        <v>2084</v>
      </c>
      <c r="C104" s="17">
        <v>0</v>
      </c>
      <c r="D104" s="170">
        <v>2652.5</v>
      </c>
      <c r="E104" s="17">
        <v>0</v>
      </c>
      <c r="F104" s="17">
        <v>0</v>
      </c>
      <c r="G104" s="17">
        <v>0</v>
      </c>
      <c r="H104" s="10">
        <v>100000</v>
      </c>
      <c r="I104" s="10">
        <v>10000</v>
      </c>
    </row>
    <row r="105" spans="1:16" x14ac:dyDescent="0.2">
      <c r="A105" s="16" t="s">
        <v>570</v>
      </c>
      <c r="B105" s="125" t="s">
        <v>2085</v>
      </c>
      <c r="C105" s="17">
        <v>21388.959999999999</v>
      </c>
      <c r="D105" s="170">
        <v>26406.04</v>
      </c>
      <c r="E105" s="17">
        <v>25040.74</v>
      </c>
      <c r="F105" s="17">
        <v>20548.62</v>
      </c>
      <c r="G105" s="17">
        <v>23534.42</v>
      </c>
      <c r="H105" s="10">
        <v>30000</v>
      </c>
      <c r="I105" s="10">
        <v>35000</v>
      </c>
    </row>
    <row r="106" spans="1:16" x14ac:dyDescent="0.2">
      <c r="A106" s="16" t="s">
        <v>571</v>
      </c>
      <c r="B106" s="125" t="s">
        <v>2086</v>
      </c>
      <c r="C106" s="17">
        <v>198140.4</v>
      </c>
      <c r="D106" s="170">
        <v>321318.92</v>
      </c>
      <c r="E106" s="17">
        <v>376688.1</v>
      </c>
      <c r="F106" s="17">
        <v>187308.63</v>
      </c>
      <c r="G106" s="17">
        <v>145750.51</v>
      </c>
      <c r="H106" s="10">
        <v>50000</v>
      </c>
      <c r="I106" s="10">
        <v>600000</v>
      </c>
    </row>
    <row r="107" spans="1:16" x14ac:dyDescent="0.2">
      <c r="A107" s="16" t="s">
        <v>572</v>
      </c>
      <c r="B107" s="125" t="s">
        <v>2087</v>
      </c>
      <c r="C107" s="17">
        <v>43566</v>
      </c>
      <c r="D107" s="170">
        <v>74081</v>
      </c>
      <c r="E107" s="17">
        <v>57000</v>
      </c>
      <c r="F107" s="17">
        <v>62181</v>
      </c>
      <c r="G107" s="17">
        <v>73457.460000000006</v>
      </c>
      <c r="H107" s="10">
        <v>82800</v>
      </c>
      <c r="I107" s="10">
        <v>124000</v>
      </c>
    </row>
    <row r="108" spans="1:16" x14ac:dyDescent="0.2">
      <c r="A108" s="16" t="s">
        <v>574</v>
      </c>
      <c r="B108" s="125" t="s">
        <v>1900</v>
      </c>
      <c r="C108" s="17">
        <v>160697</v>
      </c>
      <c r="D108" s="176">
        <v>357298.07</v>
      </c>
      <c r="E108" s="17">
        <v>139147.48000000001</v>
      </c>
      <c r="F108" s="17">
        <v>247097.05</v>
      </c>
      <c r="G108" s="17">
        <v>1279.98</v>
      </c>
      <c r="H108" s="10">
        <v>186157.3</v>
      </c>
      <c r="I108" s="10">
        <v>200000</v>
      </c>
    </row>
    <row r="109" spans="1:16" x14ac:dyDescent="0.2">
      <c r="A109" s="16" t="s">
        <v>573</v>
      </c>
      <c r="B109" s="125" t="s">
        <v>2000</v>
      </c>
      <c r="C109" s="17">
        <v>0</v>
      </c>
      <c r="D109" s="170">
        <v>0</v>
      </c>
      <c r="E109" s="17">
        <v>196272</v>
      </c>
      <c r="F109" s="17">
        <v>0</v>
      </c>
      <c r="G109" s="17">
        <v>83000</v>
      </c>
      <c r="H109" s="10">
        <v>90000</v>
      </c>
      <c r="I109" s="10">
        <v>0</v>
      </c>
    </row>
    <row r="110" spans="1:16" x14ac:dyDescent="0.2">
      <c r="A110" s="52" t="s">
        <v>1691</v>
      </c>
      <c r="B110" s="126" t="s">
        <v>1930</v>
      </c>
      <c r="C110" s="17">
        <v>990</v>
      </c>
      <c r="D110" s="170">
        <v>3299.69</v>
      </c>
      <c r="E110" s="17">
        <v>3345.88</v>
      </c>
      <c r="F110" s="17">
        <v>0</v>
      </c>
      <c r="G110" s="17">
        <v>0</v>
      </c>
      <c r="H110" s="10">
        <v>50</v>
      </c>
      <c r="I110" s="10">
        <v>14000</v>
      </c>
      <c r="L110" s="208"/>
      <c r="M110" s="208"/>
      <c r="N110" s="210"/>
      <c r="O110" s="208"/>
      <c r="P110" s="208"/>
    </row>
    <row r="111" spans="1:16" x14ac:dyDescent="0.2">
      <c r="A111" s="16" t="s">
        <v>403</v>
      </c>
      <c r="B111" s="125" t="s">
        <v>2088</v>
      </c>
      <c r="C111" s="17">
        <v>2249.75</v>
      </c>
      <c r="D111" s="176">
        <v>13498.5</v>
      </c>
      <c r="E111" s="17">
        <v>5940.84</v>
      </c>
      <c r="F111" s="17">
        <v>8380.99</v>
      </c>
      <c r="G111" s="17">
        <v>18080.8</v>
      </c>
      <c r="H111" s="10">
        <v>19050</v>
      </c>
      <c r="I111" s="10">
        <v>8400</v>
      </c>
      <c r="L111" s="208"/>
      <c r="N111" s="208"/>
      <c r="O111" s="209"/>
      <c r="P111" s="208"/>
    </row>
    <row r="112" spans="1:16" x14ac:dyDescent="0.2">
      <c r="A112" s="16" t="s">
        <v>2305</v>
      </c>
      <c r="B112" s="125" t="s">
        <v>2301</v>
      </c>
      <c r="C112" s="17">
        <v>0</v>
      </c>
      <c r="D112" s="176">
        <v>0</v>
      </c>
      <c r="E112" s="17">
        <v>33150.49</v>
      </c>
      <c r="F112" s="17">
        <v>139911.57</v>
      </c>
      <c r="G112" s="17">
        <v>125593.7</v>
      </c>
      <c r="H112" s="10">
        <v>211600.52</v>
      </c>
      <c r="I112" s="10">
        <v>362308</v>
      </c>
      <c r="L112" s="208"/>
      <c r="M112" s="208"/>
      <c r="N112" s="208"/>
      <c r="O112" s="209"/>
      <c r="P112" s="208"/>
    </row>
    <row r="113" spans="1:16" x14ac:dyDescent="0.2">
      <c r="A113" s="16" t="s">
        <v>1771</v>
      </c>
      <c r="B113" s="125" t="s">
        <v>2089</v>
      </c>
      <c r="C113" s="17">
        <v>489601.57</v>
      </c>
      <c r="D113" s="176">
        <v>155311.82999999999</v>
      </c>
      <c r="E113" s="17">
        <v>156261.26999999999</v>
      </c>
      <c r="F113" s="17">
        <v>1226957.47</v>
      </c>
      <c r="G113" s="17">
        <v>280372.71000000002</v>
      </c>
      <c r="H113" s="8">
        <v>302850</v>
      </c>
      <c r="I113" s="8">
        <f>+intro!F552</f>
        <v>1263058.27</v>
      </c>
      <c r="L113" s="208"/>
      <c r="M113" s="208"/>
      <c r="N113" s="208"/>
      <c r="O113" s="235"/>
      <c r="P113" s="208"/>
    </row>
    <row r="114" spans="1:16" x14ac:dyDescent="0.2">
      <c r="A114" s="16" t="s">
        <v>1791</v>
      </c>
      <c r="B114" s="125" t="s">
        <v>2090</v>
      </c>
      <c r="C114" s="17">
        <v>10704.89</v>
      </c>
      <c r="D114" s="176">
        <v>48462.26</v>
      </c>
      <c r="E114" s="17">
        <v>51703.89</v>
      </c>
      <c r="F114" s="17">
        <v>59444.23</v>
      </c>
      <c r="G114" s="17">
        <v>53655.28</v>
      </c>
      <c r="H114" s="8">
        <v>59239.5</v>
      </c>
      <c r="I114" s="8">
        <f>+intro!G552</f>
        <v>73760.479999999996</v>
      </c>
      <c r="L114" s="208"/>
      <c r="M114" s="208"/>
      <c r="N114" s="208"/>
      <c r="O114" s="236"/>
      <c r="P114" s="208"/>
    </row>
    <row r="115" spans="1:16" x14ac:dyDescent="0.2">
      <c r="A115" s="16"/>
      <c r="B115" s="6" t="s">
        <v>786</v>
      </c>
      <c r="C115" s="38">
        <f t="shared" ref="C115:G115" si="29">SUM(C91:C114)</f>
        <v>2593598.83</v>
      </c>
      <c r="D115" s="167">
        <f t="shared" si="29"/>
        <v>2835763.0199999996</v>
      </c>
      <c r="E115" s="38">
        <f t="shared" si="29"/>
        <v>2692223.5900000003</v>
      </c>
      <c r="F115" s="38">
        <f t="shared" si="29"/>
        <v>3030273.33</v>
      </c>
      <c r="G115" s="38">
        <f t="shared" si="29"/>
        <v>2929716.6399999997</v>
      </c>
      <c r="H115" s="38">
        <f t="shared" ref="H115:I115" si="30">SUM(H91:H114)</f>
        <v>3402822.32</v>
      </c>
      <c r="I115" s="38">
        <f t="shared" si="30"/>
        <v>4974601.75</v>
      </c>
      <c r="L115" s="208"/>
      <c r="M115" s="208"/>
      <c r="N115" s="208"/>
      <c r="O115" s="237"/>
      <c r="P115" s="208"/>
    </row>
    <row r="116" spans="1:16" x14ac:dyDescent="0.2">
      <c r="A116" s="16"/>
      <c r="B116" s="6" t="s">
        <v>1433</v>
      </c>
      <c r="C116" s="127" t="s">
        <v>1433</v>
      </c>
      <c r="D116" s="177" t="s">
        <v>1433</v>
      </c>
      <c r="E116" s="127" t="s">
        <v>1433</v>
      </c>
      <c r="F116" s="127" t="s">
        <v>1433</v>
      </c>
      <c r="G116" s="127"/>
      <c r="H116" s="127" t="s">
        <v>1433</v>
      </c>
      <c r="I116" s="127" t="s">
        <v>1433</v>
      </c>
      <c r="L116" s="208"/>
      <c r="M116" s="208"/>
      <c r="N116" s="208"/>
      <c r="O116" s="235"/>
      <c r="P116" s="208"/>
    </row>
    <row r="117" spans="1:16" ht="13.5" thickBot="1" x14ac:dyDescent="0.25">
      <c r="A117" s="16"/>
      <c r="B117" s="6" t="s">
        <v>1341</v>
      </c>
      <c r="C117" s="36">
        <f t="shared" ref="C117:G117" si="31">C88+C115+C67</f>
        <v>4958528.2100000009</v>
      </c>
      <c r="D117" s="173">
        <f t="shared" si="31"/>
        <v>5446512.6799999997</v>
      </c>
      <c r="E117" s="36">
        <f t="shared" si="31"/>
        <v>5178188.0199999996</v>
      </c>
      <c r="F117" s="36">
        <f t="shared" si="31"/>
        <v>5481869.2599999998</v>
      </c>
      <c r="G117" s="36">
        <f t="shared" si="31"/>
        <v>5517486.8100000005</v>
      </c>
      <c r="H117" s="36">
        <f t="shared" ref="H117:I117" si="32">H88+H115+H67</f>
        <v>6295591.3200000003</v>
      </c>
      <c r="I117" s="36">
        <f t="shared" si="32"/>
        <v>7959206.75</v>
      </c>
      <c r="L117" s="208"/>
      <c r="M117" s="208"/>
      <c r="N117" s="208"/>
      <c r="O117" s="235"/>
      <c r="P117" s="208"/>
    </row>
    <row r="118" spans="1:16" ht="13.5" thickTop="1" x14ac:dyDescent="0.2">
      <c r="C118" s="10"/>
      <c r="D118" s="159"/>
      <c r="E118" s="10"/>
      <c r="F118" s="10"/>
      <c r="G118" s="10"/>
      <c r="H118" s="10"/>
      <c r="I118" s="10"/>
    </row>
    <row r="119" spans="1:16" x14ac:dyDescent="0.2">
      <c r="A119" s="16"/>
      <c r="B119" s="4" t="s">
        <v>1342</v>
      </c>
      <c r="C119" s="10" t="s">
        <v>1433</v>
      </c>
      <c r="D119" s="159" t="s">
        <v>1433</v>
      </c>
      <c r="E119" s="10" t="s">
        <v>1433</v>
      </c>
      <c r="F119" s="10" t="s">
        <v>1433</v>
      </c>
      <c r="G119" s="10"/>
      <c r="H119" s="10" t="s">
        <v>1433</v>
      </c>
      <c r="I119" s="10" t="s">
        <v>1433</v>
      </c>
    </row>
    <row r="120" spans="1:16" x14ac:dyDescent="0.2">
      <c r="A120" s="16"/>
      <c r="B120" s="4" t="s">
        <v>984</v>
      </c>
      <c r="C120" s="10"/>
      <c r="D120" s="159"/>
      <c r="E120" s="10"/>
      <c r="F120" s="10"/>
      <c r="G120" s="10"/>
      <c r="H120" s="10"/>
      <c r="I120" s="10"/>
    </row>
    <row r="121" spans="1:16" x14ac:dyDescent="0.2">
      <c r="A121" s="16"/>
      <c r="B121" s="4" t="s">
        <v>1343</v>
      </c>
      <c r="C121" s="10"/>
      <c r="D121" s="159"/>
      <c r="E121" s="10"/>
      <c r="F121" s="10"/>
      <c r="G121" s="10"/>
      <c r="H121" s="10"/>
      <c r="I121" s="10"/>
    </row>
    <row r="122" spans="1:16" x14ac:dyDescent="0.2">
      <c r="A122" s="16"/>
      <c r="C122" s="129" t="str">
        <f t="shared" ref="C122:H122" si="33">+C5</f>
        <v>2018 ACTUAL</v>
      </c>
      <c r="D122" s="175" t="str">
        <f t="shared" si="33"/>
        <v>2019 ACTUAL</v>
      </c>
      <c r="E122" s="129" t="str">
        <f t="shared" si="33"/>
        <v>2020 ACTUAL</v>
      </c>
      <c r="F122" s="129" t="str">
        <f t="shared" si="33"/>
        <v>2021 ACTUAL</v>
      </c>
      <c r="G122" s="129" t="str">
        <f t="shared" si="33"/>
        <v>2022 ACTUAL</v>
      </c>
      <c r="H122" s="129" t="str">
        <f t="shared" si="33"/>
        <v xml:space="preserve">2023 BUDGET </v>
      </c>
      <c r="I122" s="129" t="str">
        <f t="shared" ref="I122" si="34">+I5</f>
        <v xml:space="preserve">2024 BUDGET </v>
      </c>
    </row>
    <row r="123" spans="1:16" x14ac:dyDescent="0.2">
      <c r="C123" s="10"/>
      <c r="D123" s="159"/>
      <c r="E123" s="10"/>
      <c r="F123" s="10"/>
      <c r="G123" s="10"/>
      <c r="H123" s="10"/>
      <c r="I123" s="10"/>
    </row>
    <row r="124" spans="1:16" x14ac:dyDescent="0.2">
      <c r="A124" s="16" t="s">
        <v>1433</v>
      </c>
      <c r="B124" s="39" t="s">
        <v>2436</v>
      </c>
      <c r="C124" s="10">
        <f>352027-0.24</f>
        <v>352026.76</v>
      </c>
      <c r="D124" s="159">
        <f t="shared" ref="D124:I124" si="35">C132</f>
        <v>793365.89999999944</v>
      </c>
      <c r="E124" s="10">
        <f t="shared" si="35"/>
        <v>546567.81000000052</v>
      </c>
      <c r="F124" s="10">
        <f t="shared" si="35"/>
        <v>541527.9700000016</v>
      </c>
      <c r="G124" s="10">
        <f t="shared" si="35"/>
        <v>1218237.620000002</v>
      </c>
      <c r="H124" s="10">
        <f t="shared" si="35"/>
        <v>1599182.3900000015</v>
      </c>
      <c r="I124" s="10">
        <f t="shared" si="35"/>
        <v>1284796.8396550035</v>
      </c>
    </row>
    <row r="125" spans="1:16" x14ac:dyDescent="0.2">
      <c r="A125" s="16" t="s">
        <v>1433</v>
      </c>
      <c r="C125" s="10"/>
      <c r="D125" s="159"/>
      <c r="E125" s="10"/>
      <c r="F125" s="10"/>
      <c r="G125" s="10"/>
      <c r="H125" s="10"/>
      <c r="I125" s="10"/>
    </row>
    <row r="126" spans="1:16" x14ac:dyDescent="0.2">
      <c r="A126" s="16" t="s">
        <v>1433</v>
      </c>
      <c r="B126" t="s">
        <v>1345</v>
      </c>
      <c r="C126" s="10">
        <f t="shared" ref="C126:H126" si="36">C51</f>
        <v>5399867.3500000006</v>
      </c>
      <c r="D126" s="159">
        <f t="shared" si="36"/>
        <v>5199714.5900000008</v>
      </c>
      <c r="E126" s="10">
        <f t="shared" si="36"/>
        <v>5173148.1800000006</v>
      </c>
      <c r="F126" s="10">
        <f t="shared" si="36"/>
        <v>6158578.9100000001</v>
      </c>
      <c r="G126" s="10">
        <f t="shared" si="36"/>
        <v>5898431.5800000001</v>
      </c>
      <c r="H126" s="10">
        <f t="shared" si="36"/>
        <v>5981205.7696550023</v>
      </c>
      <c r="I126" s="10">
        <f t="shared" ref="I126" si="37">I51</f>
        <v>7504103.4232763778</v>
      </c>
    </row>
    <row r="127" spans="1:16" x14ac:dyDescent="0.2">
      <c r="A127" s="16"/>
      <c r="C127" s="10"/>
      <c r="D127" s="159"/>
      <c r="E127" s="10"/>
      <c r="F127" s="10"/>
      <c r="G127" s="10"/>
      <c r="H127" s="10"/>
      <c r="I127" s="10"/>
    </row>
    <row r="128" spans="1:16" x14ac:dyDescent="0.2">
      <c r="A128" s="16"/>
      <c r="B128" t="s">
        <v>1346</v>
      </c>
      <c r="C128" s="10">
        <f t="shared" ref="C128:H128" si="38">C117</f>
        <v>4958528.2100000009</v>
      </c>
      <c r="D128" s="159">
        <f t="shared" si="38"/>
        <v>5446512.6799999997</v>
      </c>
      <c r="E128" s="10">
        <f t="shared" si="38"/>
        <v>5178188.0199999996</v>
      </c>
      <c r="F128" s="10">
        <f t="shared" si="38"/>
        <v>5481869.2599999998</v>
      </c>
      <c r="G128" s="10">
        <f t="shared" si="38"/>
        <v>5517486.8100000005</v>
      </c>
      <c r="H128" s="10">
        <f t="shared" si="38"/>
        <v>6295591.3200000003</v>
      </c>
      <c r="I128" s="10">
        <f t="shared" ref="I128" si="39">I117</f>
        <v>7959206.75</v>
      </c>
    </row>
    <row r="129" spans="1:9" x14ac:dyDescent="0.2">
      <c r="A129" s="16"/>
      <c r="C129" s="10"/>
      <c r="D129" s="159"/>
      <c r="E129" s="10"/>
      <c r="F129" s="10"/>
      <c r="G129" s="10"/>
      <c r="H129" s="10"/>
      <c r="I129" s="10"/>
    </row>
    <row r="130" spans="1:9" x14ac:dyDescent="0.2">
      <c r="A130" s="16"/>
      <c r="B130" t="s">
        <v>1347</v>
      </c>
      <c r="C130" s="12">
        <v>0</v>
      </c>
      <c r="D130" s="169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</row>
    <row r="131" spans="1:9" x14ac:dyDescent="0.2">
      <c r="C131" s="10"/>
      <c r="D131" s="159"/>
      <c r="E131" s="10"/>
      <c r="F131" s="10"/>
      <c r="G131" s="10"/>
      <c r="H131" s="10"/>
      <c r="I131" s="10"/>
    </row>
    <row r="132" spans="1:9" ht="13.5" thickBot="1" x14ac:dyDescent="0.25">
      <c r="A132" s="16"/>
      <c r="B132" t="s">
        <v>1348</v>
      </c>
      <c r="C132" s="36">
        <f t="shared" ref="C132:G132" si="40">C124+C126-C128+C130</f>
        <v>793365.89999999944</v>
      </c>
      <c r="D132" s="173">
        <f t="shared" si="40"/>
        <v>546567.81000000052</v>
      </c>
      <c r="E132" s="36">
        <f t="shared" si="40"/>
        <v>541527.9700000016</v>
      </c>
      <c r="F132" s="36">
        <f t="shared" si="40"/>
        <v>1218237.620000002</v>
      </c>
      <c r="G132" s="36">
        <f t="shared" si="40"/>
        <v>1599182.3900000015</v>
      </c>
      <c r="H132" s="36">
        <f t="shared" ref="H132:I132" si="41">H124+H126-H128+H130</f>
        <v>1284796.8396550035</v>
      </c>
      <c r="I132" s="36">
        <f t="shared" si="41"/>
        <v>829693.51293138042</v>
      </c>
    </row>
    <row r="133" spans="1:9" ht="13.5" thickTop="1" x14ac:dyDescent="0.2">
      <c r="C133" s="100"/>
      <c r="G133" s="115"/>
    </row>
  </sheetData>
  <phoneticPr fontId="2" type="noConversion"/>
  <pageMargins left="0.5" right="0.5" top="0.5" bottom="0.75" header="0.5" footer="0.5"/>
  <pageSetup scale="77" firstPageNumber="22" fitToHeight="0" orientation="portrait" useFirstPageNumber="1" r:id="rId1"/>
  <headerFooter alignWithMargins="0">
    <oddFooter>&amp;C&amp;P</oddFooter>
  </headerFooter>
  <rowBreaks count="1" manualBreakCount="1">
    <brk id="53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123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2.710937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t="s">
        <v>1433</v>
      </c>
      <c r="B1" s="4" t="s">
        <v>653</v>
      </c>
    </row>
    <row r="2" spans="1:9" x14ac:dyDescent="0.2">
      <c r="B2" s="4" t="s">
        <v>371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3" spans="1:9" x14ac:dyDescent="0.2"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9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202" t="s">
        <v>2458</v>
      </c>
      <c r="B5" s="4" t="s">
        <v>313</v>
      </c>
    </row>
    <row r="6" spans="1:9" x14ac:dyDescent="0.2">
      <c r="A6" t="s">
        <v>1524</v>
      </c>
      <c r="B6" s="126" t="s">
        <v>1761</v>
      </c>
      <c r="C6" s="10">
        <v>1047.74</v>
      </c>
      <c r="D6" s="10">
        <v>842.99</v>
      </c>
      <c r="E6" s="10">
        <v>1303.97</v>
      </c>
      <c r="F6" s="10">
        <v>1412.36</v>
      </c>
      <c r="G6" s="10">
        <v>2276.35</v>
      </c>
      <c r="H6" s="10">
        <v>1000</v>
      </c>
      <c r="I6" s="10">
        <v>1000</v>
      </c>
    </row>
    <row r="7" spans="1:9" x14ac:dyDescent="0.2">
      <c r="A7" t="s">
        <v>1476</v>
      </c>
      <c r="B7" s="125" t="s">
        <v>2096</v>
      </c>
      <c r="C7" s="12">
        <v>15747.44</v>
      </c>
      <c r="D7" s="12">
        <v>595767.52</v>
      </c>
      <c r="E7" s="12">
        <v>126976.62</v>
      </c>
      <c r="F7" s="12">
        <v>174877.05</v>
      </c>
      <c r="G7" s="12">
        <v>522085.37</v>
      </c>
      <c r="H7" s="10">
        <v>100000</v>
      </c>
      <c r="I7" s="10">
        <v>70000</v>
      </c>
    </row>
    <row r="8" spans="1:9" ht="13.5" thickBot="1" x14ac:dyDescent="0.25">
      <c r="A8" t="s">
        <v>1433</v>
      </c>
      <c r="B8" s="6" t="s">
        <v>137</v>
      </c>
      <c r="C8" s="36">
        <f t="shared" ref="C8:G8" si="0">SUM(C6:C7)</f>
        <v>16795.18</v>
      </c>
      <c r="D8" s="36">
        <f t="shared" si="0"/>
        <v>596610.51</v>
      </c>
      <c r="E8" s="36">
        <f t="shared" si="0"/>
        <v>128280.59</v>
      </c>
      <c r="F8" s="36">
        <f t="shared" si="0"/>
        <v>176289.40999999997</v>
      </c>
      <c r="G8" s="36">
        <f t="shared" si="0"/>
        <v>524361.72</v>
      </c>
      <c r="H8" s="135">
        <f t="shared" ref="H8:I8" si="1">SUM(H6:H7)</f>
        <v>101000</v>
      </c>
      <c r="I8" s="135">
        <f t="shared" si="1"/>
        <v>71000</v>
      </c>
    </row>
    <row r="9" spans="1:9" ht="13.5" thickTop="1" x14ac:dyDescent="0.2">
      <c r="C9" s="10"/>
      <c r="D9" s="10"/>
      <c r="E9" s="10"/>
      <c r="F9" s="10"/>
      <c r="G9" s="10"/>
      <c r="H9" s="10"/>
      <c r="I9" s="10"/>
    </row>
    <row r="10" spans="1:9" x14ac:dyDescent="0.2">
      <c r="A10" t="s">
        <v>1433</v>
      </c>
      <c r="C10" s="10"/>
      <c r="D10" s="10"/>
      <c r="E10" s="10"/>
      <c r="F10" s="10"/>
      <c r="G10" s="10"/>
      <c r="H10" s="10"/>
      <c r="I10" s="10"/>
    </row>
    <row r="11" spans="1:9" x14ac:dyDescent="0.2">
      <c r="A11" s="202" t="s">
        <v>2459</v>
      </c>
      <c r="B11" s="4" t="s">
        <v>861</v>
      </c>
      <c r="C11" s="10"/>
      <c r="D11" s="10"/>
      <c r="E11" s="10"/>
      <c r="F11" s="10"/>
      <c r="G11" s="10"/>
      <c r="H11" s="10"/>
      <c r="I11" s="10"/>
    </row>
    <row r="12" spans="1:9" x14ac:dyDescent="0.2">
      <c r="A12" t="s">
        <v>370</v>
      </c>
      <c r="B12" s="125" t="s">
        <v>2097</v>
      </c>
      <c r="C12" s="12">
        <v>75856.33</v>
      </c>
      <c r="D12" s="12">
        <v>201332.83</v>
      </c>
      <c r="E12" s="12">
        <v>370259.62</v>
      </c>
      <c r="F12" s="12">
        <v>122362.38</v>
      </c>
      <c r="G12" s="12">
        <v>393068.08</v>
      </c>
      <c r="H12" s="10">
        <v>250000</v>
      </c>
      <c r="I12" s="10">
        <v>250000</v>
      </c>
    </row>
    <row r="13" spans="1:9" ht="13.5" thickBot="1" x14ac:dyDescent="0.25">
      <c r="B13" s="6" t="s">
        <v>1341</v>
      </c>
      <c r="C13" s="36">
        <f t="shared" ref="C13:H13" si="2">SUM(C12)</f>
        <v>75856.33</v>
      </c>
      <c r="D13" s="36">
        <f t="shared" si="2"/>
        <v>201332.83</v>
      </c>
      <c r="E13" s="36">
        <f t="shared" si="2"/>
        <v>370259.62</v>
      </c>
      <c r="F13" s="36">
        <f t="shared" si="2"/>
        <v>122362.38</v>
      </c>
      <c r="G13" s="36">
        <f t="shared" si="2"/>
        <v>393068.08</v>
      </c>
      <c r="H13" s="135">
        <f t="shared" si="2"/>
        <v>250000</v>
      </c>
      <c r="I13" s="135">
        <f t="shared" ref="I13" si="3">SUM(I12)</f>
        <v>250000</v>
      </c>
    </row>
    <row r="14" spans="1:9" ht="13.5" thickTop="1" x14ac:dyDescent="0.2">
      <c r="B14" s="6"/>
      <c r="C14" s="10"/>
      <c r="D14" s="10"/>
      <c r="E14" s="10"/>
      <c r="F14" s="10"/>
      <c r="G14" s="10"/>
      <c r="H14" s="10"/>
      <c r="I14" s="10"/>
    </row>
    <row r="15" spans="1:9" x14ac:dyDescent="0.2">
      <c r="B15" s="6"/>
      <c r="C15" s="10"/>
      <c r="D15" s="10"/>
      <c r="E15" s="10"/>
      <c r="F15" s="10"/>
      <c r="G15" s="10"/>
      <c r="H15" s="10"/>
      <c r="I15" s="10"/>
    </row>
    <row r="16" spans="1:9" x14ac:dyDescent="0.2">
      <c r="B16" s="4" t="s">
        <v>653</v>
      </c>
      <c r="C16" s="112" t="s">
        <v>1433</v>
      </c>
      <c r="D16" s="112" t="s">
        <v>1433</v>
      </c>
      <c r="E16" s="112" t="s">
        <v>1433</v>
      </c>
      <c r="F16" s="112" t="s">
        <v>1433</v>
      </c>
      <c r="G16" s="112" t="s">
        <v>1433</v>
      </c>
      <c r="H16" s="112" t="s">
        <v>1433</v>
      </c>
      <c r="I16" s="112" t="s">
        <v>1433</v>
      </c>
    </row>
    <row r="17" spans="1:9" x14ac:dyDescent="0.2">
      <c r="B17" s="4" t="s">
        <v>371</v>
      </c>
      <c r="C17" s="112" t="s">
        <v>1433</v>
      </c>
      <c r="D17" s="112" t="s">
        <v>1433</v>
      </c>
      <c r="E17" s="112" t="s">
        <v>1433</v>
      </c>
      <c r="F17" s="112" t="s">
        <v>1433</v>
      </c>
      <c r="G17" s="112" t="s">
        <v>1433</v>
      </c>
      <c r="H17" s="112" t="s">
        <v>1433</v>
      </c>
      <c r="I17" s="112" t="s">
        <v>1433</v>
      </c>
    </row>
    <row r="18" spans="1:9" x14ac:dyDescent="0.2">
      <c r="B18" s="4" t="s">
        <v>1343</v>
      </c>
      <c r="C18" s="112" t="s">
        <v>1433</v>
      </c>
      <c r="D18" s="112" t="s">
        <v>1433</v>
      </c>
      <c r="E18" s="112" t="s">
        <v>1433</v>
      </c>
      <c r="F18" s="112" t="s">
        <v>1433</v>
      </c>
      <c r="G18" s="112" t="s">
        <v>1433</v>
      </c>
      <c r="H18" s="112" t="s">
        <v>1433</v>
      </c>
      <c r="I18" s="112" t="s">
        <v>1433</v>
      </c>
    </row>
    <row r="19" spans="1:9" x14ac:dyDescent="0.2">
      <c r="C19" s="129" t="str">
        <f t="shared" ref="C19:G19" si="4">+C4</f>
        <v>2018 ACTUAL</v>
      </c>
      <c r="D19" s="129" t="str">
        <f t="shared" si="4"/>
        <v>2019 ACTUAL</v>
      </c>
      <c r="E19" s="129" t="str">
        <f t="shared" si="4"/>
        <v>2020 ACTUAL</v>
      </c>
      <c r="F19" s="129" t="str">
        <f t="shared" si="4"/>
        <v>2021 ACTUAL</v>
      </c>
      <c r="G19" s="129" t="str">
        <f t="shared" si="4"/>
        <v>2022 ACTUAL</v>
      </c>
      <c r="H19" s="129" t="str">
        <f t="shared" ref="H19:I19" si="5">+H4</f>
        <v xml:space="preserve">2023 BUDGET </v>
      </c>
      <c r="I19" s="129" t="str">
        <f t="shared" si="5"/>
        <v xml:space="preserve">2024 BUDGET </v>
      </c>
    </row>
    <row r="20" spans="1:9" x14ac:dyDescent="0.2">
      <c r="A20" t="s">
        <v>1433</v>
      </c>
      <c r="C20" s="112"/>
      <c r="D20" s="112"/>
      <c r="E20" s="112"/>
      <c r="F20" s="112"/>
      <c r="G20" s="112"/>
      <c r="H20" s="112"/>
      <c r="I20" s="112"/>
    </row>
    <row r="21" spans="1:9" x14ac:dyDescent="0.2">
      <c r="B21" t="s">
        <v>1344</v>
      </c>
      <c r="C21" s="10">
        <f>295359-0.1</f>
        <v>295358.90000000002</v>
      </c>
      <c r="D21" s="10">
        <f t="shared" ref="D21:I21" si="6">C29</f>
        <v>236297.75</v>
      </c>
      <c r="E21" s="10">
        <f t="shared" si="6"/>
        <v>631575.43000000005</v>
      </c>
      <c r="F21" s="10">
        <f t="shared" si="6"/>
        <v>389596.4</v>
      </c>
      <c r="G21" s="10">
        <f t="shared" si="6"/>
        <v>443523.43000000005</v>
      </c>
      <c r="H21" s="10">
        <f t="shared" si="6"/>
        <v>574817.07000000007</v>
      </c>
      <c r="I21" s="10">
        <f t="shared" si="6"/>
        <v>425817.07000000007</v>
      </c>
    </row>
    <row r="22" spans="1:9" x14ac:dyDescent="0.2">
      <c r="A22" t="s">
        <v>1433</v>
      </c>
      <c r="C22" s="10"/>
      <c r="D22" s="10"/>
      <c r="E22" s="10"/>
      <c r="F22" s="10"/>
      <c r="G22" s="10"/>
      <c r="H22" s="10"/>
      <c r="I22" s="10"/>
    </row>
    <row r="23" spans="1:9" x14ac:dyDescent="0.2">
      <c r="B23" t="s">
        <v>113</v>
      </c>
      <c r="C23" s="10">
        <f t="shared" ref="C23:G23" si="7">C8</f>
        <v>16795.18</v>
      </c>
      <c r="D23" s="10">
        <f t="shared" si="7"/>
        <v>596610.51</v>
      </c>
      <c r="E23" s="10">
        <f t="shared" si="7"/>
        <v>128280.59</v>
      </c>
      <c r="F23" s="10">
        <f t="shared" si="7"/>
        <v>176289.40999999997</v>
      </c>
      <c r="G23" s="10">
        <f t="shared" si="7"/>
        <v>524361.72</v>
      </c>
      <c r="H23" s="10">
        <f t="shared" ref="H23:I23" si="8">H8</f>
        <v>101000</v>
      </c>
      <c r="I23" s="10">
        <f t="shared" si="8"/>
        <v>71000</v>
      </c>
    </row>
    <row r="24" spans="1:9" x14ac:dyDescent="0.2">
      <c r="C24" s="10"/>
      <c r="D24" s="10"/>
      <c r="E24" s="10"/>
      <c r="F24" s="10"/>
      <c r="G24" s="10"/>
      <c r="H24" s="10"/>
      <c r="I24" s="10"/>
    </row>
    <row r="25" spans="1:9" x14ac:dyDescent="0.2">
      <c r="B25" t="s">
        <v>1427</v>
      </c>
      <c r="C25" s="10">
        <f t="shared" ref="C25:G25" si="9">C13</f>
        <v>75856.33</v>
      </c>
      <c r="D25" s="10">
        <f t="shared" si="9"/>
        <v>201332.83</v>
      </c>
      <c r="E25" s="10">
        <f t="shared" si="9"/>
        <v>370259.62</v>
      </c>
      <c r="F25" s="10">
        <f t="shared" si="9"/>
        <v>122362.38</v>
      </c>
      <c r="G25" s="10">
        <f t="shared" si="9"/>
        <v>393068.08</v>
      </c>
      <c r="H25" s="10">
        <f t="shared" ref="H25:I25" si="10">H13</f>
        <v>250000</v>
      </c>
      <c r="I25" s="10">
        <f t="shared" si="10"/>
        <v>250000</v>
      </c>
    </row>
    <row r="26" spans="1:9" x14ac:dyDescent="0.2">
      <c r="C26" s="10"/>
      <c r="D26" s="10"/>
      <c r="E26" s="10"/>
      <c r="F26" s="10"/>
      <c r="G26" s="10"/>
      <c r="H26" s="10"/>
      <c r="I26" s="10"/>
    </row>
    <row r="27" spans="1:9" x14ac:dyDescent="0.2">
      <c r="B27" t="s">
        <v>1347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x14ac:dyDescent="0.2">
      <c r="C28" s="10"/>
      <c r="D28" s="10"/>
      <c r="E28" s="10"/>
      <c r="F28" s="10"/>
      <c r="G28" s="10"/>
      <c r="H28" s="10"/>
      <c r="I28" s="10"/>
    </row>
    <row r="29" spans="1:9" ht="13.5" thickBot="1" x14ac:dyDescent="0.25">
      <c r="B29" t="s">
        <v>1348</v>
      </c>
      <c r="C29" s="36">
        <f t="shared" ref="C29:G29" si="11">C21+C23-C25+C27</f>
        <v>236297.75</v>
      </c>
      <c r="D29" s="36">
        <f t="shared" si="11"/>
        <v>631575.43000000005</v>
      </c>
      <c r="E29" s="36">
        <f t="shared" si="11"/>
        <v>389596.4</v>
      </c>
      <c r="F29" s="36">
        <f t="shared" si="11"/>
        <v>443523.43000000005</v>
      </c>
      <c r="G29" s="36">
        <f t="shared" si="11"/>
        <v>574817.07000000007</v>
      </c>
      <c r="H29" s="36">
        <f t="shared" ref="H29:I29" si="12">H21+H23-H25+H27</f>
        <v>425817.07000000007</v>
      </c>
      <c r="I29" s="36">
        <f t="shared" si="12"/>
        <v>246817.07000000007</v>
      </c>
    </row>
    <row r="30" spans="1:9" ht="13.5" thickTop="1" x14ac:dyDescent="0.2"/>
    <row r="31" spans="1:9" x14ac:dyDescent="0.2">
      <c r="C31" s="10"/>
      <c r="D31" s="10"/>
      <c r="E31" s="10"/>
      <c r="G31" s="10"/>
    </row>
    <row r="33" spans="3:5" x14ac:dyDescent="0.2">
      <c r="C33" s="10"/>
      <c r="E33" s="10"/>
    </row>
    <row r="123" spans="3:7" x14ac:dyDescent="0.2">
      <c r="C123" s="9"/>
      <c r="D123" s="9"/>
      <c r="E123" s="9"/>
      <c r="F123" s="9"/>
      <c r="G123" s="9"/>
    </row>
  </sheetData>
  <phoneticPr fontId="2" type="noConversion"/>
  <pageMargins left="0.5" right="0.5" top="1" bottom="1" header="0.5" footer="0.5"/>
  <pageSetup scale="78" firstPageNumber="24" fitToHeight="0" orientation="portrait" useFirstPageNumber="1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124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3.285156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10" x14ac:dyDescent="0.2">
      <c r="A1" t="s">
        <v>1433</v>
      </c>
      <c r="B1" s="4" t="s">
        <v>653</v>
      </c>
    </row>
    <row r="2" spans="1:10" x14ac:dyDescent="0.2">
      <c r="B2" s="4" t="s">
        <v>1611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3" spans="1:10" x14ac:dyDescent="0.2"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10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10" x14ac:dyDescent="0.2">
      <c r="A5" s="202" t="s">
        <v>2460</v>
      </c>
      <c r="B5" s="4" t="s">
        <v>313</v>
      </c>
    </row>
    <row r="6" spans="1:10" x14ac:dyDescent="0.2">
      <c r="A6" s="5" t="s">
        <v>1612</v>
      </c>
      <c r="B6" s="125" t="s">
        <v>1761</v>
      </c>
      <c r="C6" s="178">
        <v>0</v>
      </c>
      <c r="D6" s="179">
        <v>1062.18</v>
      </c>
      <c r="E6" s="179">
        <v>1164.8800000000001</v>
      </c>
      <c r="F6" s="179">
        <v>1197.6400000000001</v>
      </c>
      <c r="G6" s="179">
        <v>1132.1600000000001</v>
      </c>
      <c r="H6" s="10">
        <v>25</v>
      </c>
      <c r="I6" s="10">
        <f>+H6</f>
        <v>25</v>
      </c>
    </row>
    <row r="7" spans="1:10" x14ac:dyDescent="0.2">
      <c r="A7" s="5" t="s">
        <v>1613</v>
      </c>
      <c r="B7" s="126" t="s">
        <v>2098</v>
      </c>
      <c r="C7" s="180">
        <v>4308.9399999999996</v>
      </c>
      <c r="D7" s="181">
        <v>3388.92</v>
      </c>
      <c r="E7" s="181">
        <v>2199.67</v>
      </c>
      <c r="F7" s="181">
        <v>3281.8</v>
      </c>
      <c r="G7" s="181">
        <v>8418.25</v>
      </c>
      <c r="H7" s="10">
        <v>3000</v>
      </c>
      <c r="I7" s="10">
        <v>4500</v>
      </c>
    </row>
    <row r="8" spans="1:10" ht="13.5" thickBot="1" x14ac:dyDescent="0.25">
      <c r="A8" t="s">
        <v>1433</v>
      </c>
      <c r="B8" s="6" t="s">
        <v>137</v>
      </c>
      <c r="C8" s="182">
        <f t="shared" ref="C8:G8" si="0">SUM(C6:C7)</f>
        <v>4308.9399999999996</v>
      </c>
      <c r="D8" s="183">
        <f t="shared" si="0"/>
        <v>4451.1000000000004</v>
      </c>
      <c r="E8" s="183">
        <f t="shared" si="0"/>
        <v>3364.55</v>
      </c>
      <c r="F8" s="183">
        <f t="shared" si="0"/>
        <v>4479.4400000000005</v>
      </c>
      <c r="G8" s="183">
        <f t="shared" si="0"/>
        <v>9550.41</v>
      </c>
      <c r="H8" s="195">
        <f t="shared" ref="H8:I8" si="1">SUM(H6:H7)</f>
        <v>3025</v>
      </c>
      <c r="I8" s="195">
        <f t="shared" si="1"/>
        <v>4525</v>
      </c>
    </row>
    <row r="9" spans="1:10" ht="13.5" thickTop="1" x14ac:dyDescent="0.2">
      <c r="C9" s="178"/>
      <c r="D9" s="179"/>
      <c r="E9" s="179"/>
      <c r="F9" s="179"/>
      <c r="G9" s="179"/>
      <c r="H9" s="179"/>
      <c r="I9" s="179"/>
    </row>
    <row r="10" spans="1:10" x14ac:dyDescent="0.2">
      <c r="A10" t="s">
        <v>1433</v>
      </c>
      <c r="C10" s="178"/>
      <c r="D10" s="179"/>
      <c r="E10" s="179"/>
      <c r="F10" s="179"/>
      <c r="G10" s="179"/>
      <c r="H10" s="179"/>
      <c r="I10" s="179"/>
    </row>
    <row r="11" spans="1:10" x14ac:dyDescent="0.2">
      <c r="A11" s="203">
        <v>160.69499999999999</v>
      </c>
      <c r="B11" s="4" t="s">
        <v>861</v>
      </c>
      <c r="C11" s="178"/>
      <c r="D11" s="179"/>
      <c r="E11" s="179"/>
      <c r="F11" s="179"/>
      <c r="G11" s="179"/>
      <c r="H11" s="179"/>
      <c r="I11" s="179"/>
    </row>
    <row r="12" spans="1:10" x14ac:dyDescent="0.2">
      <c r="A12" s="5" t="s">
        <v>1696</v>
      </c>
      <c r="B12" s="126" t="s">
        <v>2099</v>
      </c>
      <c r="C12" s="184">
        <v>0</v>
      </c>
      <c r="D12" s="185">
        <v>0</v>
      </c>
      <c r="E12" s="185">
        <v>0</v>
      </c>
      <c r="F12" s="185">
        <v>0</v>
      </c>
      <c r="G12" s="185">
        <v>120000</v>
      </c>
      <c r="H12" s="10">
        <v>0</v>
      </c>
      <c r="I12" s="10">
        <v>0</v>
      </c>
      <c r="J12" s="39"/>
    </row>
    <row r="13" spans="1:10" x14ac:dyDescent="0.2">
      <c r="A13" s="5" t="s">
        <v>1697</v>
      </c>
      <c r="B13" s="126" t="s">
        <v>2100</v>
      </c>
      <c r="C13" s="180">
        <v>0</v>
      </c>
      <c r="D13" s="181">
        <v>0</v>
      </c>
      <c r="E13" s="181">
        <v>0</v>
      </c>
      <c r="F13" s="181">
        <v>0</v>
      </c>
      <c r="G13" s="181">
        <v>0</v>
      </c>
      <c r="H13" s="181">
        <v>0</v>
      </c>
      <c r="I13" s="181">
        <v>0</v>
      </c>
    </row>
    <row r="14" spans="1:10" ht="13.5" thickBot="1" x14ac:dyDescent="0.25">
      <c r="B14" s="6" t="s">
        <v>1341</v>
      </c>
      <c r="C14" s="182">
        <f t="shared" ref="C14:G14" si="2">SUM(C12:C13)</f>
        <v>0</v>
      </c>
      <c r="D14" s="182">
        <f t="shared" si="2"/>
        <v>0</v>
      </c>
      <c r="E14" s="182">
        <f t="shared" si="2"/>
        <v>0</v>
      </c>
      <c r="F14" s="182">
        <f t="shared" si="2"/>
        <v>0</v>
      </c>
      <c r="G14" s="182">
        <f t="shared" si="2"/>
        <v>120000</v>
      </c>
      <c r="H14" s="182">
        <f t="shared" ref="H14:I14" si="3">SUM(H12:H13)</f>
        <v>0</v>
      </c>
      <c r="I14" s="182">
        <f t="shared" si="3"/>
        <v>0</v>
      </c>
    </row>
    <row r="15" spans="1:10" ht="13.5" thickTop="1" x14ac:dyDescent="0.2">
      <c r="B15" s="6"/>
      <c r="C15" s="184"/>
      <c r="D15" s="185"/>
      <c r="E15" s="185"/>
      <c r="F15" s="185"/>
      <c r="G15" s="185"/>
      <c r="H15" s="185"/>
      <c r="I15" s="185"/>
    </row>
    <row r="16" spans="1:10" x14ac:dyDescent="0.2">
      <c r="B16" s="6"/>
      <c r="C16" s="184"/>
      <c r="D16" s="185"/>
      <c r="E16" s="185"/>
      <c r="F16" s="185"/>
      <c r="G16" s="185"/>
      <c r="H16" s="185"/>
      <c r="I16" s="185"/>
    </row>
    <row r="17" spans="1:9" x14ac:dyDescent="0.2">
      <c r="B17" s="4" t="s">
        <v>653</v>
      </c>
      <c r="C17" s="186" t="s">
        <v>1433</v>
      </c>
      <c r="D17" s="187" t="s">
        <v>1433</v>
      </c>
      <c r="E17" s="187" t="s">
        <v>1433</v>
      </c>
      <c r="F17" s="187" t="s">
        <v>1433</v>
      </c>
      <c r="G17" s="187" t="s">
        <v>1433</v>
      </c>
      <c r="H17" s="187" t="s">
        <v>1433</v>
      </c>
      <c r="I17" s="187" t="s">
        <v>1433</v>
      </c>
    </row>
    <row r="18" spans="1:9" x14ac:dyDescent="0.2">
      <c r="B18" s="4" t="s">
        <v>1611</v>
      </c>
      <c r="C18" s="186" t="s">
        <v>1433</v>
      </c>
      <c r="D18" s="187" t="s">
        <v>1433</v>
      </c>
      <c r="E18" s="187" t="s">
        <v>1433</v>
      </c>
      <c r="F18" s="187" t="s">
        <v>1433</v>
      </c>
      <c r="G18" s="187" t="s">
        <v>1433</v>
      </c>
      <c r="H18" s="187" t="s">
        <v>1433</v>
      </c>
      <c r="I18" s="187" t="s">
        <v>1433</v>
      </c>
    </row>
    <row r="19" spans="1:9" x14ac:dyDescent="0.2">
      <c r="B19" s="4" t="s">
        <v>1343</v>
      </c>
      <c r="C19" s="186" t="s">
        <v>1433</v>
      </c>
      <c r="D19" s="187" t="s">
        <v>1433</v>
      </c>
      <c r="E19" s="187" t="s">
        <v>1433</v>
      </c>
      <c r="F19" s="187" t="s">
        <v>1433</v>
      </c>
      <c r="G19" s="187" t="s">
        <v>1433</v>
      </c>
      <c r="H19" s="187" t="s">
        <v>1433</v>
      </c>
      <c r="I19" s="187" t="s">
        <v>1433</v>
      </c>
    </row>
    <row r="20" spans="1:9" x14ac:dyDescent="0.2">
      <c r="C20" s="188" t="str">
        <f t="shared" ref="C20:G20" si="4">+C4</f>
        <v>2018 ACTUAL</v>
      </c>
      <c r="D20" s="188" t="str">
        <f t="shared" si="4"/>
        <v>2019 ACTUAL</v>
      </c>
      <c r="E20" s="188" t="str">
        <f t="shared" si="4"/>
        <v>2020 ACTUAL</v>
      </c>
      <c r="F20" s="188" t="str">
        <f t="shared" si="4"/>
        <v>2021 ACTUAL</v>
      </c>
      <c r="G20" s="188" t="str">
        <f t="shared" si="4"/>
        <v>2022 ACTUAL</v>
      </c>
      <c r="H20" s="188" t="str">
        <f t="shared" ref="H20:I20" si="5">+H4</f>
        <v xml:space="preserve">2023 BUDGET </v>
      </c>
      <c r="I20" s="188" t="str">
        <f t="shared" si="5"/>
        <v xml:space="preserve">2024 BUDGET </v>
      </c>
    </row>
    <row r="21" spans="1:9" x14ac:dyDescent="0.2">
      <c r="A21" t="s">
        <v>1433</v>
      </c>
      <c r="C21" s="186"/>
      <c r="D21" s="187"/>
      <c r="E21" s="187"/>
      <c r="F21" s="187"/>
      <c r="G21" s="187"/>
      <c r="H21" s="187"/>
      <c r="I21" s="187"/>
    </row>
    <row r="22" spans="1:9" x14ac:dyDescent="0.2">
      <c r="B22" t="s">
        <v>1344</v>
      </c>
      <c r="C22" s="178">
        <v>105532.58</v>
      </c>
      <c r="D22" s="179">
        <f t="shared" ref="D22:I22" si="6">C30</f>
        <v>109841.52</v>
      </c>
      <c r="E22" s="179">
        <f t="shared" si="6"/>
        <v>114292.62000000001</v>
      </c>
      <c r="F22" s="179">
        <f t="shared" si="6"/>
        <v>117657.17000000001</v>
      </c>
      <c r="G22" s="179">
        <f t="shared" si="6"/>
        <v>122136.61000000002</v>
      </c>
      <c r="H22" s="179">
        <f t="shared" si="6"/>
        <v>11687.020000000019</v>
      </c>
      <c r="I22" s="179">
        <f t="shared" si="6"/>
        <v>14712.020000000019</v>
      </c>
    </row>
    <row r="23" spans="1:9" x14ac:dyDescent="0.2">
      <c r="A23" t="s">
        <v>1433</v>
      </c>
      <c r="C23" s="178"/>
      <c r="D23" s="179"/>
      <c r="E23" s="179"/>
      <c r="F23" s="179"/>
      <c r="G23" s="179"/>
      <c r="H23" s="179"/>
      <c r="I23" s="179"/>
    </row>
    <row r="24" spans="1:9" x14ac:dyDescent="0.2">
      <c r="B24" t="s">
        <v>113</v>
      </c>
      <c r="C24" s="178">
        <f t="shared" ref="C24:G24" si="7">C8</f>
        <v>4308.9399999999996</v>
      </c>
      <c r="D24" s="179">
        <f t="shared" si="7"/>
        <v>4451.1000000000004</v>
      </c>
      <c r="E24" s="179">
        <f t="shared" si="7"/>
        <v>3364.55</v>
      </c>
      <c r="F24" s="179">
        <f t="shared" si="7"/>
        <v>4479.4400000000005</v>
      </c>
      <c r="G24" s="179">
        <f t="shared" si="7"/>
        <v>9550.41</v>
      </c>
      <c r="H24" s="179">
        <f t="shared" ref="H24:I24" si="8">H8</f>
        <v>3025</v>
      </c>
      <c r="I24" s="179">
        <f t="shared" si="8"/>
        <v>4525</v>
      </c>
    </row>
    <row r="25" spans="1:9" x14ac:dyDescent="0.2">
      <c r="C25" s="178"/>
      <c r="D25" s="179"/>
      <c r="E25" s="179"/>
      <c r="F25" s="179"/>
      <c r="G25" s="179"/>
      <c r="H25" s="179"/>
      <c r="I25" s="179"/>
    </row>
    <row r="26" spans="1:9" x14ac:dyDescent="0.2">
      <c r="B26" t="s">
        <v>1427</v>
      </c>
      <c r="C26" s="178">
        <f t="shared" ref="C26:G26" si="9">C14</f>
        <v>0</v>
      </c>
      <c r="D26" s="179">
        <f t="shared" si="9"/>
        <v>0</v>
      </c>
      <c r="E26" s="179">
        <f t="shared" si="9"/>
        <v>0</v>
      </c>
      <c r="F26" s="179">
        <f t="shared" si="9"/>
        <v>0</v>
      </c>
      <c r="G26" s="179">
        <f t="shared" si="9"/>
        <v>120000</v>
      </c>
      <c r="H26" s="179">
        <f t="shared" ref="H26:I26" si="10">H14</f>
        <v>0</v>
      </c>
      <c r="I26" s="179">
        <f t="shared" si="10"/>
        <v>0</v>
      </c>
    </row>
    <row r="27" spans="1:9" x14ac:dyDescent="0.2">
      <c r="C27" s="178"/>
      <c r="D27" s="179"/>
      <c r="E27" s="179"/>
      <c r="F27" s="179"/>
      <c r="G27" s="179"/>
      <c r="H27" s="179"/>
      <c r="I27" s="179"/>
    </row>
    <row r="28" spans="1:9" x14ac:dyDescent="0.2">
      <c r="B28" t="s">
        <v>1347</v>
      </c>
      <c r="C28" s="180">
        <v>0</v>
      </c>
      <c r="D28" s="181">
        <v>0</v>
      </c>
      <c r="E28" s="181">
        <v>0</v>
      </c>
      <c r="F28" s="181">
        <v>0</v>
      </c>
      <c r="G28" s="181">
        <v>0</v>
      </c>
      <c r="H28" s="181">
        <v>0</v>
      </c>
      <c r="I28" s="181">
        <v>0</v>
      </c>
    </row>
    <row r="29" spans="1:9" x14ac:dyDescent="0.2">
      <c r="C29" s="178"/>
      <c r="D29" s="179"/>
      <c r="E29" s="179"/>
      <c r="F29" s="179"/>
      <c r="G29" s="179"/>
      <c r="H29" s="179"/>
      <c r="I29" s="179"/>
    </row>
    <row r="30" spans="1:9" ht="13.5" thickBot="1" x14ac:dyDescent="0.25">
      <c r="B30" t="s">
        <v>1348</v>
      </c>
      <c r="C30" s="182">
        <f t="shared" ref="C30:G30" si="11">C22+C24-C26+C28</f>
        <v>109841.52</v>
      </c>
      <c r="D30" s="183">
        <f t="shared" si="11"/>
        <v>114292.62000000001</v>
      </c>
      <c r="E30" s="183">
        <f t="shared" si="11"/>
        <v>117657.17000000001</v>
      </c>
      <c r="F30" s="183">
        <f t="shared" si="11"/>
        <v>122136.61000000002</v>
      </c>
      <c r="G30" s="183">
        <f t="shared" si="11"/>
        <v>11687.020000000019</v>
      </c>
      <c r="H30" s="183">
        <f t="shared" ref="H30:I30" si="12">H22+H24-H26+H28</f>
        <v>14712.020000000019</v>
      </c>
      <c r="I30" s="183">
        <f t="shared" si="12"/>
        <v>19237.020000000019</v>
      </c>
    </row>
    <row r="31" spans="1:9" ht="13.5" thickTop="1" x14ac:dyDescent="0.2"/>
    <row r="32" spans="1:9" x14ac:dyDescent="0.2">
      <c r="G32" s="10"/>
    </row>
    <row r="124" spans="3:7" x14ac:dyDescent="0.2">
      <c r="C124" s="9"/>
      <c r="D124" s="9"/>
      <c r="E124" s="9"/>
      <c r="F124" s="9"/>
      <c r="G124" s="9"/>
    </row>
  </sheetData>
  <pageMargins left="0.5" right="0.5" top="1" bottom="1" header="0.5" footer="0.5"/>
  <pageSetup scale="78" firstPageNumber="25" fitToHeight="0" orientation="portrait" useFirstPageNumber="1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126"/>
  <sheetViews>
    <sheetView zoomScaleNormal="100" workbookViewId="0">
      <selection activeCell="E19" sqref="E19"/>
    </sheetView>
  </sheetViews>
  <sheetFormatPr defaultRowHeight="12.75" x14ac:dyDescent="0.2"/>
  <cols>
    <col min="1" max="1" width="14.42578125" customWidth="1"/>
    <col min="2" max="2" width="35.7109375" customWidth="1"/>
    <col min="3" max="3" width="14.28515625" hidden="1" customWidth="1"/>
    <col min="4" max="4" width="13.28515625" hidden="1" customWidth="1"/>
    <col min="5" max="5" width="14" customWidth="1"/>
    <col min="6" max="6" width="13.5703125" customWidth="1"/>
    <col min="7" max="7" width="12.85546875" customWidth="1"/>
    <col min="8" max="8" width="13.7109375" customWidth="1"/>
    <col min="9" max="9" width="13.42578125" customWidth="1"/>
  </cols>
  <sheetData>
    <row r="1" spans="1:9" x14ac:dyDescent="0.2">
      <c r="A1" t="s">
        <v>1433</v>
      </c>
      <c r="B1" s="4" t="s">
        <v>653</v>
      </c>
    </row>
    <row r="2" spans="1:9" x14ac:dyDescent="0.2">
      <c r="B2" s="4" t="s">
        <v>990</v>
      </c>
      <c r="C2" s="1" t="s">
        <v>1433</v>
      </c>
      <c r="D2" s="1" t="s">
        <v>1433</v>
      </c>
      <c r="E2" s="1" t="s">
        <v>1433</v>
      </c>
      <c r="F2" s="1" t="s">
        <v>1433</v>
      </c>
      <c r="G2" s="1" t="s">
        <v>1433</v>
      </c>
    </row>
    <row r="3" spans="1:9" x14ac:dyDescent="0.2">
      <c r="C3" s="1" t="s">
        <v>1433</v>
      </c>
      <c r="D3" s="1" t="s">
        <v>1433</v>
      </c>
      <c r="E3" s="1" t="s">
        <v>1433</v>
      </c>
      <c r="F3" s="1" t="s">
        <v>1433</v>
      </c>
      <c r="G3" s="1" t="s">
        <v>1433</v>
      </c>
    </row>
    <row r="4" spans="1:9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ACTUAL</v>
      </c>
      <c r="H4" s="7" t="str">
        <f>+'100-Genl'!H4</f>
        <v xml:space="preserve">2023 BUDGET </v>
      </c>
      <c r="I4" s="7" t="str">
        <f>+'100-Genl'!I4</f>
        <v xml:space="preserve">2024 BUDGET </v>
      </c>
    </row>
    <row r="5" spans="1:9" x14ac:dyDescent="0.2">
      <c r="A5" s="202" t="s">
        <v>2461</v>
      </c>
      <c r="B5" s="4" t="s">
        <v>313</v>
      </c>
    </row>
    <row r="6" spans="1:9" x14ac:dyDescent="0.2">
      <c r="A6" t="s">
        <v>1477</v>
      </c>
      <c r="B6" s="125" t="s">
        <v>1761</v>
      </c>
      <c r="C6" s="10">
        <v>6.72</v>
      </c>
      <c r="D6" s="10">
        <v>9.93</v>
      </c>
      <c r="E6" s="10">
        <v>4.68</v>
      </c>
      <c r="F6" s="10">
        <v>0.09</v>
      </c>
      <c r="G6" s="10">
        <v>3.21</v>
      </c>
      <c r="H6" s="10">
        <v>5</v>
      </c>
      <c r="I6" s="10">
        <f>+H6</f>
        <v>5</v>
      </c>
    </row>
    <row r="7" spans="1:9" x14ac:dyDescent="0.2">
      <c r="A7" t="s">
        <v>1745</v>
      </c>
      <c r="B7" s="125" t="s">
        <v>1838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f>+G7</f>
        <v>0</v>
      </c>
      <c r="I7" s="10">
        <f>+H7</f>
        <v>0</v>
      </c>
    </row>
    <row r="8" spans="1:9" x14ac:dyDescent="0.2">
      <c r="A8" t="s">
        <v>404</v>
      </c>
      <c r="B8" s="125" t="s">
        <v>1881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f>+G8</f>
        <v>0</v>
      </c>
      <c r="I8" s="10">
        <f>+H8</f>
        <v>0</v>
      </c>
    </row>
    <row r="9" spans="1:9" x14ac:dyDescent="0.2">
      <c r="A9" t="s">
        <v>405</v>
      </c>
      <c r="B9" s="125" t="s">
        <v>1878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f>+G9</f>
        <v>0</v>
      </c>
      <c r="I9" s="10">
        <f>+H9</f>
        <v>0</v>
      </c>
    </row>
    <row r="10" spans="1:9" x14ac:dyDescent="0.2">
      <c r="A10" t="s">
        <v>2092</v>
      </c>
      <c r="B10" s="125" t="s">
        <v>1882</v>
      </c>
      <c r="C10" s="10"/>
      <c r="D10" s="10">
        <v>11412.71</v>
      </c>
      <c r="E10" s="10"/>
      <c r="F10" s="10"/>
      <c r="G10" s="10"/>
      <c r="H10" s="10">
        <f>+G10</f>
        <v>0</v>
      </c>
      <c r="I10" s="10">
        <f>+H10</f>
        <v>0</v>
      </c>
    </row>
    <row r="11" spans="1:9" ht="13.5" thickBot="1" x14ac:dyDescent="0.25">
      <c r="A11" t="s">
        <v>1433</v>
      </c>
      <c r="B11" s="6" t="s">
        <v>137</v>
      </c>
      <c r="C11" s="135">
        <f t="shared" ref="C11:G11" si="0">SUM(C6:C10)</f>
        <v>6.72</v>
      </c>
      <c r="D11" s="135">
        <f t="shared" si="0"/>
        <v>11422.64</v>
      </c>
      <c r="E11" s="135">
        <f t="shared" si="0"/>
        <v>4.68</v>
      </c>
      <c r="F11" s="135">
        <f t="shared" si="0"/>
        <v>0.09</v>
      </c>
      <c r="G11" s="135">
        <f t="shared" si="0"/>
        <v>3.21</v>
      </c>
      <c r="H11" s="135">
        <f t="shared" ref="H11:I11" si="1">SUM(H6:H10)</f>
        <v>5</v>
      </c>
      <c r="I11" s="135">
        <f t="shared" si="1"/>
        <v>5</v>
      </c>
    </row>
    <row r="12" spans="1:9" ht="13.5" thickTop="1" x14ac:dyDescent="0.2">
      <c r="C12" s="10"/>
      <c r="D12" s="10"/>
      <c r="E12" s="10"/>
      <c r="F12" s="10"/>
      <c r="G12" s="10"/>
      <c r="H12" s="10"/>
      <c r="I12" s="10"/>
    </row>
    <row r="13" spans="1:9" x14ac:dyDescent="0.2">
      <c r="A13" t="s">
        <v>1433</v>
      </c>
      <c r="C13" s="10"/>
      <c r="D13" s="10"/>
      <c r="E13" s="10"/>
      <c r="F13" s="10"/>
      <c r="G13" s="10"/>
      <c r="H13" s="10"/>
      <c r="I13" s="10"/>
    </row>
    <row r="14" spans="1:9" x14ac:dyDescent="0.2">
      <c r="A14" s="203">
        <v>180.54300000000001</v>
      </c>
      <c r="B14" s="4" t="s">
        <v>861</v>
      </c>
      <c r="C14" s="10"/>
      <c r="D14" s="10"/>
      <c r="E14" s="10"/>
      <c r="F14" s="10"/>
      <c r="G14" s="10"/>
      <c r="H14" s="10"/>
      <c r="I14" s="10"/>
    </row>
    <row r="15" spans="1:9" x14ac:dyDescent="0.2">
      <c r="A15" t="s">
        <v>575</v>
      </c>
      <c r="B15" s="125" t="s">
        <v>2101</v>
      </c>
      <c r="C15" s="12">
        <v>0</v>
      </c>
      <c r="D15" s="12">
        <v>11412.17</v>
      </c>
      <c r="E15" s="12">
        <v>0</v>
      </c>
      <c r="F15" s="12">
        <v>0</v>
      </c>
      <c r="G15" s="12">
        <v>0</v>
      </c>
      <c r="H15" s="10">
        <v>1000</v>
      </c>
      <c r="I15" s="10">
        <f>+H15</f>
        <v>1000</v>
      </c>
    </row>
    <row r="16" spans="1:9" ht="13.5" thickBot="1" x14ac:dyDescent="0.25">
      <c r="B16" s="6" t="s">
        <v>1341</v>
      </c>
      <c r="C16" s="36">
        <f t="shared" ref="C16:H16" si="2">SUM(C15)</f>
        <v>0</v>
      </c>
      <c r="D16" s="36">
        <f t="shared" si="2"/>
        <v>11412.17</v>
      </c>
      <c r="E16" s="36">
        <f t="shared" si="2"/>
        <v>0</v>
      </c>
      <c r="F16" s="36">
        <f t="shared" si="2"/>
        <v>0</v>
      </c>
      <c r="G16" s="36">
        <f t="shared" si="2"/>
        <v>0</v>
      </c>
      <c r="H16" s="135">
        <f t="shared" si="2"/>
        <v>1000</v>
      </c>
      <c r="I16" s="135">
        <f t="shared" ref="I16" si="3">SUM(I15)</f>
        <v>1000</v>
      </c>
    </row>
    <row r="17" spans="1:9" ht="13.5" thickTop="1" x14ac:dyDescent="0.2">
      <c r="B17" s="6"/>
      <c r="C17" s="10"/>
      <c r="D17" s="10"/>
      <c r="E17" s="10"/>
      <c r="F17" s="10"/>
      <c r="G17" s="10"/>
      <c r="H17" s="10"/>
      <c r="I17" s="10"/>
    </row>
    <row r="18" spans="1:9" x14ac:dyDescent="0.2">
      <c r="B18" s="6"/>
      <c r="C18" s="10"/>
      <c r="D18" s="10"/>
      <c r="E18" s="10"/>
      <c r="F18" s="10"/>
      <c r="G18" s="10"/>
      <c r="H18" s="10"/>
      <c r="I18" s="10"/>
    </row>
    <row r="19" spans="1:9" x14ac:dyDescent="0.2">
      <c r="B19" s="4" t="s">
        <v>653</v>
      </c>
      <c r="C19" s="112" t="s">
        <v>1433</v>
      </c>
      <c r="D19" s="112" t="s">
        <v>1433</v>
      </c>
      <c r="E19" s="112" t="s">
        <v>1433</v>
      </c>
      <c r="F19" s="112" t="s">
        <v>1433</v>
      </c>
      <c r="G19" s="112" t="s">
        <v>1433</v>
      </c>
      <c r="H19" s="112" t="s">
        <v>1433</v>
      </c>
      <c r="I19" s="112" t="s">
        <v>1433</v>
      </c>
    </row>
    <row r="20" spans="1:9" x14ac:dyDescent="0.2">
      <c r="B20" s="4" t="s">
        <v>990</v>
      </c>
      <c r="C20" s="112" t="s">
        <v>1433</v>
      </c>
      <c r="D20" s="112" t="s">
        <v>1433</v>
      </c>
      <c r="E20" s="112" t="s">
        <v>1433</v>
      </c>
      <c r="F20" s="112" t="s">
        <v>1433</v>
      </c>
      <c r="G20" s="112" t="s">
        <v>1433</v>
      </c>
      <c r="H20" s="112" t="s">
        <v>1433</v>
      </c>
      <c r="I20" s="112" t="s">
        <v>1433</v>
      </c>
    </row>
    <row r="21" spans="1:9" x14ac:dyDescent="0.2">
      <c r="B21" s="4" t="s">
        <v>1343</v>
      </c>
      <c r="C21" s="112" t="s">
        <v>1433</v>
      </c>
      <c r="D21" s="112" t="s">
        <v>1433</v>
      </c>
      <c r="E21" s="112" t="s">
        <v>1433</v>
      </c>
      <c r="F21" s="112" t="s">
        <v>1433</v>
      </c>
      <c r="G21" s="112" t="s">
        <v>1433</v>
      </c>
      <c r="H21" s="112" t="s">
        <v>1433</v>
      </c>
      <c r="I21" s="112" t="s">
        <v>1433</v>
      </c>
    </row>
    <row r="22" spans="1:9" x14ac:dyDescent="0.2">
      <c r="C22" s="129" t="str">
        <f t="shared" ref="C22:G22" si="4">+C4</f>
        <v>2018 ACTUAL</v>
      </c>
      <c r="D22" s="129" t="str">
        <f t="shared" si="4"/>
        <v>2019 ACTUAL</v>
      </c>
      <c r="E22" s="129" t="str">
        <f t="shared" si="4"/>
        <v>2020 ACTUAL</v>
      </c>
      <c r="F22" s="129" t="str">
        <f t="shared" si="4"/>
        <v>2021 ACTUAL</v>
      </c>
      <c r="G22" s="129" t="str">
        <f t="shared" si="4"/>
        <v>2022 ACTUAL</v>
      </c>
      <c r="H22" s="129" t="str">
        <f t="shared" ref="H22:I22" si="5">+H4</f>
        <v xml:space="preserve">2023 BUDGET </v>
      </c>
      <c r="I22" s="129" t="str">
        <f t="shared" si="5"/>
        <v xml:space="preserve">2024 BUDGET </v>
      </c>
    </row>
    <row r="23" spans="1:9" x14ac:dyDescent="0.2">
      <c r="A23" t="s">
        <v>1433</v>
      </c>
      <c r="C23" s="112"/>
      <c r="D23" s="112"/>
      <c r="E23" s="112"/>
      <c r="F23" s="112"/>
      <c r="G23" s="112"/>
      <c r="H23" s="112"/>
      <c r="I23" s="112"/>
    </row>
    <row r="24" spans="1:9" x14ac:dyDescent="0.2">
      <c r="B24" t="s">
        <v>1344</v>
      </c>
      <c r="C24" s="10">
        <v>5714.39</v>
      </c>
      <c r="D24" s="10">
        <f t="shared" ref="D24:I24" si="6">C32</f>
        <v>5721.1100000000006</v>
      </c>
      <c r="E24" s="10">
        <f t="shared" si="6"/>
        <v>5731.58</v>
      </c>
      <c r="F24" s="10">
        <f t="shared" si="6"/>
        <v>5736.26</v>
      </c>
      <c r="G24" s="10">
        <f t="shared" si="6"/>
        <v>5736.35</v>
      </c>
      <c r="H24" s="10">
        <f t="shared" si="6"/>
        <v>5739.56</v>
      </c>
      <c r="I24" s="10">
        <f t="shared" si="6"/>
        <v>4744.5600000000004</v>
      </c>
    </row>
    <row r="25" spans="1:9" x14ac:dyDescent="0.2">
      <c r="A25" t="s">
        <v>1433</v>
      </c>
      <c r="C25" s="10"/>
      <c r="D25" s="10"/>
      <c r="E25" s="10"/>
      <c r="F25" s="10"/>
      <c r="G25" s="10"/>
      <c r="H25" s="10"/>
      <c r="I25" s="10"/>
    </row>
    <row r="26" spans="1:9" x14ac:dyDescent="0.2">
      <c r="B26" t="s">
        <v>113</v>
      </c>
      <c r="C26" s="10">
        <f t="shared" ref="C26:G26" si="7">C11</f>
        <v>6.72</v>
      </c>
      <c r="D26" s="10">
        <f t="shared" si="7"/>
        <v>11422.64</v>
      </c>
      <c r="E26" s="10">
        <f t="shared" si="7"/>
        <v>4.68</v>
      </c>
      <c r="F26" s="10">
        <f t="shared" si="7"/>
        <v>0.09</v>
      </c>
      <c r="G26" s="10">
        <f t="shared" si="7"/>
        <v>3.21</v>
      </c>
      <c r="H26" s="10">
        <f t="shared" ref="H26:I26" si="8">H11</f>
        <v>5</v>
      </c>
      <c r="I26" s="10">
        <f t="shared" si="8"/>
        <v>5</v>
      </c>
    </row>
    <row r="27" spans="1:9" x14ac:dyDescent="0.2">
      <c r="C27" s="10"/>
      <c r="D27" s="10"/>
      <c r="E27" s="10"/>
      <c r="F27" s="10"/>
      <c r="G27" s="10"/>
      <c r="H27" s="10"/>
      <c r="I27" s="10"/>
    </row>
    <row r="28" spans="1:9" x14ac:dyDescent="0.2">
      <c r="B28" t="s">
        <v>1427</v>
      </c>
      <c r="C28" s="10">
        <f t="shared" ref="C28:G28" si="9">C16</f>
        <v>0</v>
      </c>
      <c r="D28" s="10">
        <f t="shared" si="9"/>
        <v>11412.17</v>
      </c>
      <c r="E28" s="10">
        <f t="shared" si="9"/>
        <v>0</v>
      </c>
      <c r="F28" s="10">
        <f t="shared" si="9"/>
        <v>0</v>
      </c>
      <c r="G28" s="10">
        <f t="shared" si="9"/>
        <v>0</v>
      </c>
      <c r="H28" s="10">
        <f t="shared" ref="H28:I28" si="10">H16</f>
        <v>1000</v>
      </c>
      <c r="I28" s="10">
        <f t="shared" si="10"/>
        <v>1000</v>
      </c>
    </row>
    <row r="29" spans="1:9" x14ac:dyDescent="0.2">
      <c r="C29" s="10"/>
      <c r="D29" s="10"/>
      <c r="E29" s="10"/>
      <c r="F29" s="10"/>
      <c r="G29" s="10"/>
      <c r="H29" s="10"/>
      <c r="I29" s="10"/>
    </row>
    <row r="30" spans="1:9" x14ac:dyDescent="0.2">
      <c r="B30" t="s">
        <v>1347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x14ac:dyDescent="0.2">
      <c r="C31" s="10"/>
      <c r="D31" s="10"/>
      <c r="E31" s="10"/>
      <c r="F31" s="10"/>
      <c r="G31" s="10"/>
      <c r="H31" s="10"/>
      <c r="I31" s="10"/>
    </row>
    <row r="32" spans="1:9" ht="13.5" thickBot="1" x14ac:dyDescent="0.25">
      <c r="B32" t="s">
        <v>1348</v>
      </c>
      <c r="C32" s="36">
        <f t="shared" ref="C32:G32" si="11">C24+C26-C28+C30</f>
        <v>5721.1100000000006</v>
      </c>
      <c r="D32" s="36">
        <f t="shared" si="11"/>
        <v>5731.58</v>
      </c>
      <c r="E32" s="36">
        <f t="shared" si="11"/>
        <v>5736.26</v>
      </c>
      <c r="F32" s="36">
        <f t="shared" si="11"/>
        <v>5736.35</v>
      </c>
      <c r="G32" s="36">
        <f t="shared" si="11"/>
        <v>5739.56</v>
      </c>
      <c r="H32" s="36">
        <f t="shared" ref="H32:I32" si="12">H24+H26-H28+H30</f>
        <v>4744.5600000000004</v>
      </c>
      <c r="I32" s="36">
        <f t="shared" si="12"/>
        <v>3749.5600000000004</v>
      </c>
    </row>
    <row r="33" ht="13.5" thickTop="1" x14ac:dyDescent="0.2"/>
    <row r="126" spans="3:7" x14ac:dyDescent="0.2">
      <c r="C126" s="9"/>
      <c r="D126" s="9"/>
      <c r="E126" s="9"/>
      <c r="F126" s="9"/>
      <c r="G126" s="9"/>
    </row>
  </sheetData>
  <phoneticPr fontId="2" type="noConversion"/>
  <pageMargins left="0.5" right="0.5" top="1" bottom="1" header="0.5" footer="0.5"/>
  <pageSetup scale="78" firstPageNumber="26" fitToHeight="0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45</vt:i4>
      </vt:variant>
    </vt:vector>
  </HeadingPairs>
  <TitlesOfParts>
    <vt:vector size="84" baseType="lpstr">
      <vt:lpstr>intro</vt:lpstr>
      <vt:lpstr>100-Genl</vt:lpstr>
      <vt:lpstr>110-Jury</vt:lpstr>
      <vt:lpstr>120-Bail Bond</vt:lpstr>
      <vt:lpstr>130-Protested Ppty Tax</vt:lpstr>
      <vt:lpstr>140-R &amp; B</vt:lpstr>
      <vt:lpstr>145-Road Damage</vt:lpstr>
      <vt:lpstr>160-Perm School</vt:lpstr>
      <vt:lpstr>180-Emer Mgm</vt:lpstr>
      <vt:lpstr>220-Constable</vt:lpstr>
      <vt:lpstr>240-Airport</vt:lpstr>
      <vt:lpstr>260-VIT</vt:lpstr>
      <vt:lpstr>270-HC Youth</vt:lpstr>
      <vt:lpstr>280-Capital Murder</vt:lpstr>
      <vt:lpstr>300-310-320-Technology</vt:lpstr>
      <vt:lpstr>330-Case Mgr</vt:lpstr>
      <vt:lpstr>410-Law Lib</vt:lpstr>
      <vt:lpstr>450-Juv Svcs</vt:lpstr>
      <vt:lpstr>460-Juv Grants</vt:lpstr>
      <vt:lpstr>470-Boot Camp</vt:lpstr>
      <vt:lpstr>480-Title IV-E</vt:lpstr>
      <vt:lpstr>490-Co Grants</vt:lpstr>
      <vt:lpstr>495 - American Rescue Plan</vt:lpstr>
      <vt:lpstr>500-515-Records Mgm</vt:lpstr>
      <vt:lpstr>550-Security</vt:lpstr>
      <vt:lpstr>551-SubCH Sec</vt:lpstr>
      <vt:lpstr>560-Court-Init Guardianship</vt:lpstr>
      <vt:lpstr>570-6th Court of Appeals</vt:lpstr>
      <vt:lpstr>610-I &amp; S</vt:lpstr>
      <vt:lpstr>700-Elevator</vt:lpstr>
      <vt:lpstr>710-Perm Imp</vt:lpstr>
      <vt:lpstr>720-Jail Const</vt:lpstr>
      <vt:lpstr>730-CH Const</vt:lpstr>
      <vt:lpstr>740-Tobacco</vt:lpstr>
      <vt:lpstr>745-Opioid Settlement</vt:lpstr>
      <vt:lpstr>750-CH Maint</vt:lpstr>
      <vt:lpstr>890-DA Spec</vt:lpstr>
      <vt:lpstr>Recap</vt:lpstr>
      <vt:lpstr>Sal Inc</vt:lpstr>
      <vt:lpstr>'100-Genl'!Print_Area</vt:lpstr>
      <vt:lpstr>'110-Jury'!Print_Area</vt:lpstr>
      <vt:lpstr>'120-Bail Bond'!Print_Area</vt:lpstr>
      <vt:lpstr>'130-Protested Ppty Tax'!Print_Area</vt:lpstr>
      <vt:lpstr>'140-R &amp; B'!Print_Area</vt:lpstr>
      <vt:lpstr>'145-Road Damage'!Print_Area</vt:lpstr>
      <vt:lpstr>'160-Perm School'!Print_Area</vt:lpstr>
      <vt:lpstr>'180-Emer Mgm'!Print_Area</vt:lpstr>
      <vt:lpstr>'220-Constable'!Print_Area</vt:lpstr>
      <vt:lpstr>'240-Airport'!Print_Area</vt:lpstr>
      <vt:lpstr>'260-VIT'!Print_Area</vt:lpstr>
      <vt:lpstr>'270-HC Youth'!Print_Area</vt:lpstr>
      <vt:lpstr>'280-Capital Murder'!Print_Area</vt:lpstr>
      <vt:lpstr>'300-310-320-Technology'!Print_Area</vt:lpstr>
      <vt:lpstr>'330-Case Mgr'!Print_Area</vt:lpstr>
      <vt:lpstr>'410-Law Lib'!Print_Area</vt:lpstr>
      <vt:lpstr>'450-Juv Svcs'!Print_Area</vt:lpstr>
      <vt:lpstr>'460-Juv Grants'!Print_Area</vt:lpstr>
      <vt:lpstr>'470-Boot Camp'!Print_Area</vt:lpstr>
      <vt:lpstr>'480-Title IV-E'!Print_Area</vt:lpstr>
      <vt:lpstr>'490-Co Grants'!Print_Area</vt:lpstr>
      <vt:lpstr>'495 - American Rescue Plan'!Print_Area</vt:lpstr>
      <vt:lpstr>'500-515-Records Mgm'!Print_Area</vt:lpstr>
      <vt:lpstr>'550-Security'!Print_Area</vt:lpstr>
      <vt:lpstr>'551-SubCH Sec'!Print_Area</vt:lpstr>
      <vt:lpstr>'560-Court-Init Guardianship'!Print_Area</vt:lpstr>
      <vt:lpstr>'570-6th Court of Appeals'!Print_Area</vt:lpstr>
      <vt:lpstr>'610-I &amp; S'!Print_Area</vt:lpstr>
      <vt:lpstr>'700-Elevator'!Print_Area</vt:lpstr>
      <vt:lpstr>'710-Perm Imp'!Print_Area</vt:lpstr>
      <vt:lpstr>'720-Jail Const'!Print_Area</vt:lpstr>
      <vt:lpstr>'730-CH Const'!Print_Area</vt:lpstr>
      <vt:lpstr>'740-Tobacco'!Print_Area</vt:lpstr>
      <vt:lpstr>'745-Opioid Settlement'!Print_Area</vt:lpstr>
      <vt:lpstr>'750-CH Maint'!Print_Area</vt:lpstr>
      <vt:lpstr>'890-DA Spec'!Print_Area</vt:lpstr>
      <vt:lpstr>intro!Print_Area</vt:lpstr>
      <vt:lpstr>Recap!Print_Area</vt:lpstr>
      <vt:lpstr>'Sal Inc'!Print_Area</vt:lpstr>
      <vt:lpstr>'100-Genl'!Print_Titles</vt:lpstr>
      <vt:lpstr>'110-Jury'!Print_Titles</vt:lpstr>
      <vt:lpstr>'120-Bail Bond'!Print_Titles</vt:lpstr>
      <vt:lpstr>'130-Protested Ppty Tax'!Print_Titles</vt:lpstr>
      <vt:lpstr>'140-R &amp; B'!Print_Titles</vt:lpstr>
      <vt:lpstr>'490-Co Grants'!Print_Titles</vt:lpstr>
    </vt:vector>
  </TitlesOfParts>
  <Company>Harrison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</dc:creator>
  <cp:lastModifiedBy>Dimitri Karpiak</cp:lastModifiedBy>
  <cp:lastPrinted>2023-09-18T15:53:25Z</cp:lastPrinted>
  <dcterms:created xsi:type="dcterms:W3CDTF">2009-06-03T16:17:09Z</dcterms:created>
  <dcterms:modified xsi:type="dcterms:W3CDTF">2024-11-25T21:55:55Z</dcterms:modified>
</cp:coreProperties>
</file>